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55629\Downloads\"/>
    </mc:Choice>
  </mc:AlternateContent>
  <bookViews>
    <workbookView xWindow="0" yWindow="0" windowWidth="23040" windowHeight="8496" tabRatio="926" activeTab="6"/>
  </bookViews>
  <sheets>
    <sheet name="SERVENTE DE LIMPEZA" sheetId="1" r:id="rId1"/>
    <sheet name="LAVADOR DE FACHADA" sheetId="5" r:id="rId2"/>
    <sheet name="ENCARREGADO" sheetId="6" r:id="rId3"/>
    <sheet name="M²" sheetId="4" r:id="rId4"/>
    <sheet name="MATERIAL E EQUIPAMENTO" sheetId="2" r:id="rId5"/>
    <sheet name="UNIFORMES" sheetId="3" r:id="rId6"/>
    <sheet name="RESUMO" sheetId="7" r:id="rId7"/>
  </sheets>
  <externalReferences>
    <externalReference r:id="rId8"/>
  </externalReferenc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4" i="1" l="1"/>
  <c r="I106" i="6" l="1"/>
  <c r="I109" i="6" s="1"/>
  <c r="I137" i="6" s="1"/>
  <c r="H128" i="6"/>
  <c r="H127" i="6"/>
  <c r="H126" i="6"/>
  <c r="I97" i="6"/>
  <c r="I101" i="6" s="1"/>
  <c r="J59" i="6"/>
  <c r="K59" i="6" s="1"/>
  <c r="H56" i="6"/>
  <c r="I57" i="6" s="1"/>
  <c r="H51" i="6"/>
  <c r="H36" i="6"/>
  <c r="I23" i="6"/>
  <c r="I30" i="6" s="1"/>
  <c r="I108" i="5"/>
  <c r="I23" i="5"/>
  <c r="H128" i="5"/>
  <c r="H127" i="5"/>
  <c r="H126" i="5"/>
  <c r="K121" i="5"/>
  <c r="I106" i="5"/>
  <c r="I109" i="5" s="1"/>
  <c r="I97" i="5"/>
  <c r="I101" i="5" s="1"/>
  <c r="I78" i="5"/>
  <c r="I77" i="5"/>
  <c r="J59" i="5"/>
  <c r="I57" i="5"/>
  <c r="H56" i="5"/>
  <c r="H51" i="5"/>
  <c r="H36" i="5"/>
  <c r="I30" i="5"/>
  <c r="I74" i="5" s="1"/>
  <c r="I109" i="1"/>
  <c r="I108" i="1"/>
  <c r="I107" i="1"/>
  <c r="I106" i="1"/>
  <c r="E27" i="4"/>
  <c r="E26" i="4"/>
  <c r="E20" i="4"/>
  <c r="E19" i="4"/>
  <c r="F17" i="3"/>
  <c r="F18" i="3" s="1"/>
  <c r="F16" i="3"/>
  <c r="F15" i="3"/>
  <c r="F14" i="3"/>
  <c r="F13" i="3"/>
  <c r="F12" i="3"/>
  <c r="F7" i="3"/>
  <c r="F6" i="3"/>
  <c r="F5" i="3"/>
  <c r="F4" i="3"/>
  <c r="F3" i="3"/>
  <c r="F8" i="3" s="1"/>
  <c r="F9" i="3" s="1"/>
  <c r="G103" i="2"/>
  <c r="G102" i="2"/>
  <c r="G101" i="2"/>
  <c r="G100" i="2"/>
  <c r="G99" i="2"/>
  <c r="G98" i="2"/>
  <c r="G97" i="2"/>
  <c r="G104" i="2" s="1"/>
  <c r="G88" i="2"/>
  <c r="G87" i="2"/>
  <c r="G86" i="2"/>
  <c r="G85" i="2"/>
  <c r="G84" i="2"/>
  <c r="G83" i="2"/>
  <c r="G89" i="2" s="1"/>
  <c r="G73" i="2"/>
  <c r="G72" i="2"/>
  <c r="G71" i="2"/>
  <c r="G70" i="2"/>
  <c r="G69" i="2"/>
  <c r="G68" i="2"/>
  <c r="G67" i="2"/>
  <c r="G66" i="2"/>
  <c r="G65" i="2"/>
  <c r="G64" i="2"/>
  <c r="G63" i="2"/>
  <c r="G62" i="2"/>
  <c r="G61" i="2"/>
  <c r="G74" i="2" s="1"/>
  <c r="G54" i="2"/>
  <c r="G53" i="2"/>
  <c r="G52" i="2"/>
  <c r="G51" i="2"/>
  <c r="G50" i="2"/>
  <c r="E49" i="2"/>
  <c r="G49" i="2" s="1"/>
  <c r="G48" i="2"/>
  <c r="G47" i="2"/>
  <c r="G46" i="2"/>
  <c r="G45" i="2"/>
  <c r="G44" i="2"/>
  <c r="E44" i="2"/>
  <c r="G43" i="2"/>
  <c r="E42" i="2"/>
  <c r="G42" i="2" s="1"/>
  <c r="E41" i="2"/>
  <c r="G41" i="2" s="1"/>
  <c r="G40" i="2"/>
  <c r="G39" i="2"/>
  <c r="G38" i="2"/>
  <c r="G37" i="2"/>
  <c r="G36" i="2"/>
  <c r="G35" i="2"/>
  <c r="G34" i="2"/>
  <c r="G33" i="2"/>
  <c r="G32" i="2"/>
  <c r="G31" i="2"/>
  <c r="G30" i="2"/>
  <c r="E29" i="2"/>
  <c r="G29" i="2" s="1"/>
  <c r="G28" i="2"/>
  <c r="G27" i="2"/>
  <c r="G26" i="2"/>
  <c r="G25" i="2"/>
  <c r="G24" i="2"/>
  <c r="G23" i="2"/>
  <c r="G22" i="2"/>
  <c r="E21" i="2"/>
  <c r="G21" i="2" s="1"/>
  <c r="G20" i="2"/>
  <c r="G19" i="2"/>
  <c r="E18" i="2"/>
  <c r="G18" i="2" s="1"/>
  <c r="G17" i="2"/>
  <c r="G16" i="2"/>
  <c r="E15" i="2"/>
  <c r="G15" i="2" s="1"/>
  <c r="G14" i="2"/>
  <c r="G13" i="2"/>
  <c r="G12" i="2"/>
  <c r="G11" i="2"/>
  <c r="G10" i="2"/>
  <c r="G9" i="2"/>
  <c r="E8" i="2"/>
  <c r="G8" i="2" s="1"/>
  <c r="G7" i="2"/>
  <c r="G6" i="2"/>
  <c r="E6" i="2"/>
  <c r="G5" i="2"/>
  <c r="E5" i="2"/>
  <c r="G4" i="2"/>
  <c r="E4" i="2"/>
  <c r="E3" i="2"/>
  <c r="G3" i="2" s="1"/>
  <c r="J59" i="1"/>
  <c r="I114" i="6" l="1"/>
  <c r="I58" i="6"/>
  <c r="I55" i="6" s="1"/>
  <c r="I63" i="6" s="1"/>
  <c r="I69" i="6" s="1"/>
  <c r="I38" i="6"/>
  <c r="I75" i="6"/>
  <c r="I35" i="6"/>
  <c r="I133" i="6"/>
  <c r="I78" i="6"/>
  <c r="I77" i="6"/>
  <c r="I81" i="6"/>
  <c r="I34" i="6"/>
  <c r="I36" i="6" s="1"/>
  <c r="I76" i="6"/>
  <c r="I74" i="6"/>
  <c r="I110" i="6"/>
  <c r="L59" i="6"/>
  <c r="I59" i="6" s="1"/>
  <c r="I110" i="5"/>
  <c r="I58" i="5"/>
  <c r="I55" i="5" s="1"/>
  <c r="I75" i="5"/>
  <c r="I76" i="5"/>
  <c r="I137" i="5"/>
  <c r="I114" i="5"/>
  <c r="K59" i="5"/>
  <c r="L59" i="5" s="1"/>
  <c r="I59" i="5" s="1"/>
  <c r="I133" i="5"/>
  <c r="I81" i="5"/>
  <c r="I34" i="5"/>
  <c r="I35" i="5"/>
  <c r="I38" i="5"/>
  <c r="G105" i="2"/>
  <c r="G106" i="2"/>
  <c r="G76" i="2"/>
  <c r="G75" i="2"/>
  <c r="G77" i="2" s="1"/>
  <c r="G78" i="2" s="1"/>
  <c r="G91" i="2"/>
  <c r="G90" i="2"/>
  <c r="G55" i="2"/>
  <c r="G56" i="2" s="1"/>
  <c r="G57" i="2" s="1"/>
  <c r="K59" i="1"/>
  <c r="L59" i="1" s="1"/>
  <c r="I59" i="1" s="1"/>
  <c r="I39" i="6" l="1"/>
  <c r="I40" i="6" s="1"/>
  <c r="I67" i="6"/>
  <c r="I79" i="6"/>
  <c r="I80" i="6" s="1"/>
  <c r="I63" i="5"/>
  <c r="I69" i="5" s="1"/>
  <c r="I36" i="5"/>
  <c r="G92" i="2"/>
  <c r="G93" i="2" s="1"/>
  <c r="G107" i="2"/>
  <c r="I83" i="6" l="1"/>
  <c r="I112" i="6"/>
  <c r="I135" i="6"/>
  <c r="I45" i="6"/>
  <c r="I43" i="6"/>
  <c r="I50" i="6"/>
  <c r="I49" i="6"/>
  <c r="I48" i="6"/>
  <c r="I47" i="6"/>
  <c r="I46" i="6"/>
  <c r="I44" i="6"/>
  <c r="I39" i="5"/>
  <c r="I40" i="5" s="1"/>
  <c r="I67" i="5"/>
  <c r="I79" i="5"/>
  <c r="I80" i="5" s="1"/>
  <c r="I51" i="6" l="1"/>
  <c r="I83" i="5"/>
  <c r="I135" i="5"/>
  <c r="I112" i="5"/>
  <c r="I46" i="5"/>
  <c r="I45" i="5"/>
  <c r="I43" i="5"/>
  <c r="I50" i="5"/>
  <c r="I49" i="5"/>
  <c r="I48" i="5"/>
  <c r="I44" i="5"/>
  <c r="I47" i="5"/>
  <c r="I68" i="6" l="1"/>
  <c r="I70" i="6" s="1"/>
  <c r="I82" i="6"/>
  <c r="I84" i="6" s="1"/>
  <c r="I51" i="5"/>
  <c r="I88" i="6" l="1"/>
  <c r="I91" i="6"/>
  <c r="I92" i="6"/>
  <c r="I90" i="6"/>
  <c r="I89" i="6"/>
  <c r="I134" i="6"/>
  <c r="I111" i="6"/>
  <c r="I68" i="5"/>
  <c r="I70" i="5" s="1"/>
  <c r="I82" i="5"/>
  <c r="I84" i="5" s="1"/>
  <c r="I94" i="6" l="1"/>
  <c r="I100" i="6" s="1"/>
  <c r="I102" i="6" s="1"/>
  <c r="I111" i="5"/>
  <c r="I134" i="5"/>
  <c r="I89" i="5"/>
  <c r="I88" i="5"/>
  <c r="I92" i="5"/>
  <c r="I91" i="5"/>
  <c r="I90" i="5"/>
  <c r="I136" i="6" l="1"/>
  <c r="I138" i="6" s="1"/>
  <c r="I113" i="6"/>
  <c r="I115" i="6" s="1"/>
  <c r="I94" i="5"/>
  <c r="I100" i="5" s="1"/>
  <c r="I102" i="5" s="1"/>
  <c r="I118" i="6" l="1"/>
  <c r="I119" i="6" s="1"/>
  <c r="I123" i="6" s="1"/>
  <c r="I113" i="5"/>
  <c r="I115" i="5" s="1"/>
  <c r="I136" i="5"/>
  <c r="I138" i="5" s="1"/>
  <c r="I126" i="6" l="1"/>
  <c r="I122" i="6"/>
  <c r="I118" i="5"/>
  <c r="I128" i="6" l="1"/>
  <c r="I139" i="6" s="1"/>
  <c r="I140" i="6" s="1"/>
  <c r="I119" i="5"/>
  <c r="I122" i="5" s="1"/>
  <c r="I126" i="5" l="1"/>
  <c r="I123" i="5"/>
  <c r="F26" i="4"/>
  <c r="G26" i="4" s="1"/>
  <c r="C13" i="4"/>
  <c r="D13" i="4" s="1"/>
  <c r="C7" i="4"/>
  <c r="D7" i="4" s="1"/>
  <c r="F19" i="4"/>
  <c r="G19" i="4" s="1"/>
  <c r="I128" i="5" l="1"/>
  <c r="I139" i="5" s="1"/>
  <c r="I140" i="5" s="1"/>
  <c r="F27" i="4" s="1"/>
  <c r="G27" i="4" s="1"/>
  <c r="G28" i="4" s="1"/>
  <c r="E4" i="7" s="1"/>
  <c r="E5" i="7" s="1"/>
  <c r="H126" i="1" l="1"/>
  <c r="H127" i="1" s="1"/>
  <c r="H128" i="1" s="1"/>
  <c r="K121" i="1"/>
  <c r="I97" i="1"/>
  <c r="I101" i="1" s="1"/>
  <c r="H56" i="1"/>
  <c r="I57" i="1" s="1"/>
  <c r="H51" i="1"/>
  <c r="H36" i="1"/>
  <c r="I30" i="1"/>
  <c r="I58" i="1" s="1"/>
  <c r="I55" i="1" l="1"/>
  <c r="I77" i="1"/>
  <c r="I38" i="1"/>
  <c r="I76" i="1"/>
  <c r="I75" i="1"/>
  <c r="I110" i="1"/>
  <c r="I35" i="1"/>
  <c r="I81" i="1"/>
  <c r="I133" i="1"/>
  <c r="I34" i="1"/>
  <c r="I78" i="1"/>
  <c r="I114" i="1"/>
  <c r="I137" i="1"/>
  <c r="I80" i="1" l="1"/>
  <c r="I63" i="1"/>
  <c r="I69" i="1" s="1"/>
  <c r="I36" i="1"/>
  <c r="I79" i="1" s="1"/>
  <c r="I67" i="1"/>
  <c r="I39" i="1"/>
  <c r="I40" i="1"/>
  <c r="I50" i="1" l="1"/>
  <c r="I49" i="1"/>
  <c r="I47" i="1"/>
  <c r="I46" i="1"/>
  <c r="I48" i="1"/>
  <c r="I45" i="1"/>
  <c r="I43" i="1"/>
  <c r="I44" i="1"/>
  <c r="I112" i="1"/>
  <c r="I83" i="1"/>
  <c r="I135" i="1"/>
  <c r="I51" i="1" l="1"/>
  <c r="I68" i="1" l="1"/>
  <c r="I70" i="1" s="1"/>
  <c r="I82" i="1"/>
  <c r="I84" i="1" s="1"/>
  <c r="I92" i="1" l="1"/>
  <c r="I91" i="1"/>
  <c r="I90" i="1"/>
  <c r="I88" i="1"/>
  <c r="I89" i="1"/>
  <c r="I111" i="1"/>
  <c r="I134" i="1"/>
  <c r="I94" i="1" l="1"/>
  <c r="I100" i="1" s="1"/>
  <c r="I102" i="1" s="1"/>
  <c r="I113" i="1" l="1"/>
  <c r="I115" i="1" s="1"/>
  <c r="I136" i="1"/>
  <c r="I138" i="1" s="1"/>
  <c r="I118" i="1" l="1"/>
  <c r="I119" i="1" l="1"/>
  <c r="I122" i="1" s="1"/>
  <c r="I126" i="1" l="1"/>
  <c r="I123" i="1"/>
  <c r="I128" i="1" l="1"/>
  <c r="I139" i="1" s="1"/>
  <c r="I140" i="1" s="1"/>
  <c r="F20" i="4" l="1"/>
  <c r="G20" i="4" s="1"/>
  <c r="G21" i="4" s="1"/>
  <c r="D4" i="7" s="1"/>
  <c r="D5" i="7" s="1"/>
  <c r="C14" i="4"/>
  <c r="D14" i="4" s="1"/>
  <c r="D15" i="4" s="1"/>
  <c r="C4" i="7" s="1"/>
  <c r="C5" i="7" s="1"/>
  <c r="C8" i="4"/>
  <c r="D8" i="4" s="1"/>
  <c r="D9" i="4" s="1"/>
  <c r="B4" i="7" s="1"/>
  <c r="B5" i="7" s="1"/>
  <c r="B6" i="7" l="1"/>
  <c r="B7" i="7" s="1"/>
  <c r="K121" i="6" s="1"/>
</calcChain>
</file>

<file path=xl/comments1.xml><?xml version="1.0" encoding="utf-8"?>
<comments xmlns="http://schemas.openxmlformats.org/spreadsheetml/2006/main">
  <authors>
    <author>Autor</author>
  </authors>
  <commentList>
    <comment ref="A75" authorId="0" shapeId="0">
      <text>
        <r>
          <rPr>
            <sz val="11"/>
            <color rgb="FF000000"/>
            <rFont val="Calibri"/>
            <family val="2"/>
            <charset val="1"/>
          </rPr>
          <t xml:space="preserve">User:
</t>
        </r>
        <r>
          <rPr>
            <sz val="9"/>
            <color rgb="FF000000"/>
            <rFont val="Segoe UI"/>
            <family val="2"/>
          </rPr>
          <t>Nenhum desses equipamentos dura nem perto 96 meses. Esse modelo de compensação pelos equipamentos leva a empresa a ter sérios prejuizos.</t>
        </r>
      </text>
    </comment>
    <comment ref="A76" authorId="0" shapeId="0">
      <text>
        <r>
          <rPr>
            <sz val="11"/>
            <color rgb="FF000000"/>
            <rFont val="Calibri"/>
            <family val="2"/>
            <charset val="1"/>
          </rPr>
          <t xml:space="preserve">User:
</t>
        </r>
        <r>
          <rPr>
            <sz val="9"/>
            <color rgb="FF000000"/>
            <rFont val="Segoe UI"/>
            <family val="2"/>
          </rPr>
          <t>Nenhum desses equipamentos dura nem perto 96 meses. Esse modelo de compensação pelos equipamentos leva a empresa a ter sérios prejuizos.</t>
        </r>
      </text>
    </comment>
    <comment ref="A90" authorId="0" shapeId="0">
      <text>
        <r>
          <rPr>
            <sz val="11"/>
            <color rgb="FF000000"/>
            <rFont val="Calibri"/>
            <family val="2"/>
            <charset val="1"/>
          </rPr>
          <t xml:space="preserve">User:
</t>
        </r>
        <r>
          <rPr>
            <sz val="9"/>
            <color rgb="FF000000"/>
            <rFont val="Segoe UI"/>
            <family val="2"/>
          </rPr>
          <t>Nenhum desses equipamentos dura nem perto 96 meses. Esse modelo de compensação pelos equipamentos leva a empresa a ter sérios prejuizos.</t>
        </r>
      </text>
    </comment>
    <comment ref="A91" authorId="0" shapeId="0">
      <text>
        <r>
          <rPr>
            <sz val="11"/>
            <color rgb="FF000000"/>
            <rFont val="Calibri"/>
            <family val="2"/>
            <charset val="1"/>
          </rPr>
          <t xml:space="preserve">User:
</t>
        </r>
        <r>
          <rPr>
            <sz val="9"/>
            <color rgb="FF000000"/>
            <rFont val="Segoe UI"/>
            <family val="2"/>
          </rPr>
          <t>Nenhum desses equipamentos dura nem perto 96 meses. Esse modelo de compensação pelos equipamentos leva a empresa a ter sérios prejuizos.</t>
        </r>
      </text>
    </comment>
    <comment ref="A106" authorId="0" shapeId="0">
      <text>
        <r>
          <rPr>
            <sz val="11"/>
            <color rgb="FF000000"/>
            <rFont val="Calibri"/>
            <family val="2"/>
            <charset val="1"/>
          </rPr>
          <t xml:space="preserve">User:
</t>
        </r>
        <r>
          <rPr>
            <sz val="9"/>
            <color rgb="FF000000"/>
            <rFont val="Segoe UI"/>
            <family val="2"/>
          </rPr>
          <t>Nenhum desses equipamentos dura nem perto 96 meses. Esse modelo de compensação pelos equipamentos leva a empresa a ter sérios prejuizos.</t>
        </r>
      </text>
    </comment>
  </commentList>
</comments>
</file>

<file path=xl/sharedStrings.xml><?xml version="1.0" encoding="utf-8"?>
<sst xmlns="http://schemas.openxmlformats.org/spreadsheetml/2006/main" count="1074" uniqueCount="403">
  <si>
    <t>MÓDULO 3 - PROVISÃO PARA RESCISÃO</t>
  </si>
  <si>
    <t>Provisão para recisão</t>
  </si>
  <si>
    <t>Percentual/Prov. Mensal</t>
  </si>
  <si>
    <t>Valor (R$)</t>
  </si>
  <si>
    <t>A</t>
  </si>
  <si>
    <r>
      <rPr>
        <sz val="10"/>
        <color rgb="FF000000"/>
        <rFont val="Arial"/>
        <family val="2"/>
      </rPr>
      <t xml:space="preserve">Aviso prévio indenizado </t>
    </r>
    <r>
      <rPr>
        <i/>
        <sz val="10"/>
        <color rgb="FFFF0000"/>
        <rFont val="Arial"/>
        <family val="2"/>
      </rPr>
      <t xml:space="preserve">(Acórdão TCU nº 1.904/2007) 1/12*5,55%=0,46%  (Módulo 1*0,46%) </t>
    </r>
    <r>
      <rPr>
        <sz val="10"/>
        <color rgb="FF000000"/>
        <rFont val="Arial"/>
        <family val="2"/>
      </rPr>
      <t xml:space="preserve">       </t>
    </r>
  </si>
  <si>
    <t>B</t>
  </si>
  <si>
    <r>
      <rPr>
        <sz val="10"/>
        <color rgb="FF000000"/>
        <rFont val="Arial"/>
        <family val="2"/>
      </rPr>
      <t xml:space="preserve">Incidência do FGTS sobre o aviso-prévio indenizado </t>
    </r>
    <r>
      <rPr>
        <i/>
        <sz val="10"/>
        <color rgb="FFFF0000"/>
        <rFont val="Arial"/>
        <family val="2"/>
      </rPr>
      <t>8%*0,46%=0,04%  (Módulo 1*0,04%)</t>
    </r>
  </si>
  <si>
    <t>C</t>
  </si>
  <si>
    <r>
      <t xml:space="preserve">Aviso prévio trabalhado </t>
    </r>
    <r>
      <rPr>
        <i/>
        <sz val="10"/>
        <color rgb="FFFF0000"/>
        <rFont val="Arial"/>
        <family val="2"/>
      </rPr>
      <t xml:space="preserve"> (Acórdão TCU Plenário nº 1186/2017)     [(1/ 30) x 7]/12=1,94%      (Módulo 1*1,94%)</t>
    </r>
  </si>
  <si>
    <t>D</t>
  </si>
  <si>
    <r>
      <rPr>
        <sz val="10"/>
        <color rgb="FF000000"/>
        <rFont val="Arial"/>
        <family val="2"/>
      </rPr>
      <t xml:space="preserve">Incidência de GPS, FGTS e outras contribuições sobre o Aviso Prévio Trabalhado </t>
    </r>
    <r>
      <rPr>
        <i/>
        <sz val="10"/>
        <color rgb="FFFF0000"/>
        <rFont val="Arial"/>
        <family val="2"/>
      </rPr>
      <t xml:space="preserve">(36,80%*1,94%)=0,71% (Módulo 1*0,71%) </t>
    </r>
  </si>
  <si>
    <t>E</t>
  </si>
  <si>
    <r>
      <rPr>
        <sz val="10"/>
        <color rgb="FF000000"/>
        <rFont val="Arial"/>
        <family val="2"/>
      </rPr>
      <t xml:space="preserve">Multa do FGTS sobre o Aviso Prévio Trabalhado e sobre o Aviso Prévio Indenizado     </t>
    </r>
    <r>
      <rPr>
        <i/>
        <sz val="10"/>
        <color rgb="FFFF0000"/>
        <rFont val="Arial"/>
        <family val="2"/>
      </rPr>
      <t>Obrigatória a cotação de 4% sobre o valor do Módulo 1 – Composição da Remuneração, conforme Anexo XII da IN Seges nº 5/2017, considerada a alteração do art. 1º Lei 13.932/19, que exclui 10% da Contribuição Social</t>
    </r>
  </si>
  <si>
    <t>TOTAL</t>
  </si>
  <si>
    <r>
      <rPr>
        <b/>
        <sz val="10"/>
        <color rgb="FF000000"/>
        <rFont val="Arial"/>
        <family val="2"/>
      </rPr>
      <t xml:space="preserve">BASE DE CÁLCULO PARA O MÓDULO 4 = MÓDULO 1 + MÓDULO 2 </t>
    </r>
    <r>
      <rPr>
        <sz val="10"/>
        <color rgb="FF000000"/>
        <rFont val="Arial"/>
        <family val="2"/>
      </rPr>
      <t>(exceto Transporte e Auxílio-Alimentação)</t>
    </r>
    <r>
      <rPr>
        <b/>
        <sz val="10"/>
        <color rgb="FF000000"/>
        <rFont val="Arial"/>
        <family val="2"/>
      </rPr>
      <t xml:space="preserve"> + MÓDULO 3</t>
    </r>
  </si>
  <si>
    <t>MÓDULO 1</t>
  </si>
  <si>
    <r>
      <rPr>
        <b/>
        <sz val="10"/>
        <color rgb="FF000000"/>
        <rFont val="Arial"/>
        <family val="2"/>
      </rPr>
      <t xml:space="preserve">MÓDULO 2 </t>
    </r>
    <r>
      <rPr>
        <sz val="10"/>
        <color rgb="FF000000"/>
        <rFont val="Arial"/>
        <family val="2"/>
      </rPr>
      <t>(exceto Transporte e Auxílio-Alimentação)</t>
    </r>
  </si>
  <si>
    <t>MÓDULO 3</t>
  </si>
  <si>
    <t>MÓDULO 4 - CUSTO DE REPOSIÇÃO DO PROFISSIONAL AUSENTE</t>
  </si>
  <si>
    <r>
      <rPr>
        <sz val="10"/>
        <color rgb="FF000000"/>
        <rFont val="Arial"/>
        <family val="2"/>
      </rPr>
      <t xml:space="preserve">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                                                                                                                                                                                                                                                                                                                                                                                                                                                                                                                                                                                                                                                                                                                                                                                                                                                                                                                            </t>
    </r>
    <r>
      <rPr>
        <i/>
        <sz val="10"/>
        <color rgb="FFFF0000"/>
        <rFont val="Arial"/>
        <family val="2"/>
      </rPr>
      <t xml:space="preserve">Os percentuais de referência das linhas B a E abaixo foram extraídos da Nota Técnica nº 2/2018/CGAC/CISET/SG-PR, da Secretaria-Geral da Presidência da República.   </t>
    </r>
    <r>
      <rPr>
        <sz val="10"/>
        <color rgb="FF000000"/>
        <rFont val="Arial"/>
        <family val="2"/>
      </rPr>
      <t xml:space="preserve"> </t>
    </r>
  </si>
  <si>
    <t>4.1</t>
  </si>
  <si>
    <t>Ausências Legais</t>
  </si>
  <si>
    <t xml:space="preserve">Percentual </t>
  </si>
  <si>
    <r>
      <rPr>
        <sz val="10"/>
        <color rgb="FF000000"/>
        <rFont val="Arial"/>
        <family val="2"/>
      </rPr>
      <t xml:space="preserve">Substituto na cobertura de Férias </t>
    </r>
    <r>
      <rPr>
        <i/>
        <sz val="10"/>
        <color rgb="FFFF0000"/>
        <rFont val="Arial"/>
        <family val="2"/>
      </rPr>
      <t>[9,075%*(Módulo 1 + Submódulo 2.1 + Submódulo 2.2 + Submódulo 2.3 (exceto Transporte e Auxílio-alimentação) + Módulo 3)]</t>
    </r>
  </si>
  <si>
    <r>
      <rPr>
        <sz val="10"/>
        <color rgb="FF000000"/>
        <rFont val="Arial"/>
        <family val="2"/>
      </rPr>
      <t xml:space="preserve">Substituto na cobertura de Ausências Legais </t>
    </r>
    <r>
      <rPr>
        <i/>
        <sz val="10"/>
        <color rgb="FFFF0000"/>
        <rFont val="Arial"/>
        <family val="2"/>
      </rPr>
      <t>(5,96/365 dias)*100 = 1,63%  [1,63%*(Módulo 1 + Submódulo 2.1 + Submódulo 2.2 + Submódulo 2.3 (exceto Transporte e Auxílio-alimentação) + Módulo 3)]</t>
    </r>
  </si>
  <si>
    <r>
      <rPr>
        <sz val="10"/>
        <color rgb="FF000000"/>
        <rFont val="Arial"/>
        <family val="2"/>
      </rPr>
      <t xml:space="preserve">Substituto na cobertura de Licença-paternidade </t>
    </r>
    <r>
      <rPr>
        <i/>
        <sz val="10"/>
        <color rgb="FFFF0000"/>
        <rFont val="Arial"/>
        <family val="2"/>
      </rPr>
      <t>[(5/30)/12]*0,015*100 = 0,02%   [0,02%*(Módulo 1 + Submódulo 2.1 + Submódulo 2.2 + Submódulo 2.3 (exceto Transporte e Auxílio-alimentação) + Módulo 3)]</t>
    </r>
  </si>
  <si>
    <r>
      <rPr>
        <sz val="10"/>
        <color rgb="FF000000"/>
        <rFont val="Arial"/>
        <family val="2"/>
      </rPr>
      <t xml:space="preserve">Substitiuto na Ausência por acidente de trabalho </t>
    </r>
    <r>
      <rPr>
        <i/>
        <sz val="10"/>
        <color rgb="FFFF0000"/>
        <rFont val="Arial"/>
        <family val="2"/>
      </rPr>
      <t>[(15/30)/12]*0,08*100 = 0,33%  [0,33%*(Módulo 1 + Submódulo 2.1 + Submódulo 2.2 + Submódulo 2.3 (exceto Transporte e Auxílio-alimentação) + Módulo 3)]</t>
    </r>
  </si>
  <si>
    <r>
      <rPr>
        <sz val="10"/>
        <color rgb="FF000000"/>
        <rFont val="Arial"/>
        <family val="2"/>
      </rPr>
      <t xml:space="preserve">Substituto no Afastamento Maternidade </t>
    </r>
    <r>
      <rPr>
        <i/>
        <sz val="10"/>
        <color rgb="FFFF0000"/>
        <rFont val="Arial"/>
        <family val="2"/>
      </rPr>
      <t xml:space="preserve"> [0,02*(4/12)/12*100] = 0,055%  [0,055%*(Módulo 1 + Submódulo 2.1 + Submódulo 2.2 + Submódulo 2.3 (exceto Transporte e Auxílio-alimentação) + Módulo 3)]</t>
    </r>
  </si>
  <si>
    <t>F</t>
  </si>
  <si>
    <t>Outros (especificar)</t>
  </si>
  <si>
    <t>0,00
%</t>
  </si>
  <si>
    <t>Total</t>
  </si>
  <si>
    <t>4.2</t>
  </si>
  <si>
    <t>Intrajornada</t>
  </si>
  <si>
    <t>Intervalo para repouso ou alimentação</t>
  </si>
  <si>
    <t>Quadro-resumo - Módulo 4 - Custo de Reposição do Profissional Ausente</t>
  </si>
  <si>
    <t>Módulo 4 - Custo de Reposição do Profissional Ausente</t>
  </si>
  <si>
    <r>
      <rPr>
        <b/>
        <sz val="10"/>
        <rFont val="Arial"/>
        <family val="2"/>
      </rPr>
      <t xml:space="preserve">PLANILHA DE CUSTOS E FORMAÇÃO DE PREÇOS - </t>
    </r>
    <r>
      <rPr>
        <sz val="10"/>
        <rFont val="Arial"/>
        <family val="2"/>
      </rPr>
      <t xml:space="preserve">(Redação dada pela Instrução Normativa nº 05, de 25 de maio de 2017, com modificações pertinentes  trazidas pela Instrução Normativa nº 07/2018).
</t>
    </r>
  </si>
  <si>
    <t>Discriminação dos Serviços (dados referentes à contratação)</t>
  </si>
  <si>
    <t>Data de apresentação da proposta (dia/mês/ano)</t>
  </si>
  <si>
    <t>XX/XX/2023</t>
  </si>
  <si>
    <t>Município/UF</t>
  </si>
  <si>
    <t>Goiânia/GO</t>
  </si>
  <si>
    <t>Ano do acordo coletivo, convenção coletiva ou sentença normativa em dissídio coletivo</t>
  </si>
  <si>
    <t>Número de meses de execução contratual</t>
  </si>
  <si>
    <t>Identificação do serviço</t>
  </si>
  <si>
    <t>ANEXO VII-D – Mão-de-obra</t>
  </si>
  <si>
    <t>Dados complementares para composição dos custos referente à mão de obra</t>
  </si>
  <si>
    <t>Tipo de serviço (mesmo serviço com características distintas)</t>
  </si>
  <si>
    <r>
      <t xml:space="preserve">SERVIÇO DE LIMPEZA E CONSERVAÇÃO - </t>
    </r>
    <r>
      <rPr>
        <b/>
        <sz val="10"/>
        <color rgb="FF000000"/>
        <rFont val="Arial"/>
        <family val="2"/>
      </rPr>
      <t>SERVENTE</t>
    </r>
  </si>
  <si>
    <t>Classificação Brasileira de Ocupações (CBO)</t>
  </si>
  <si>
    <t>5143-20</t>
  </si>
  <si>
    <t>Salário normativo da categoria profissional</t>
  </si>
  <si>
    <t>Categoria profissional (vinculada à execução contratual)</t>
  </si>
  <si>
    <t>Servente</t>
  </si>
  <si>
    <t xml:space="preserve">Data base da categoria </t>
  </si>
  <si>
    <t>1º de janeiro</t>
  </si>
  <si>
    <t>MÓDULO 1: COMPOSIÇÃO DA REMUNERAÇÃO</t>
  </si>
  <si>
    <t>Composição da remuneração</t>
  </si>
  <si>
    <t>Percentual (%)</t>
  </si>
  <si>
    <t xml:space="preserve">Salário-base </t>
  </si>
  <si>
    <t>Gratificação de Função</t>
  </si>
  <si>
    <r>
      <rPr>
        <sz val="10"/>
        <color rgb="FF000000"/>
        <rFont val="Arial"/>
        <family val="2"/>
      </rPr>
      <t xml:space="preserve">Adicional de periculosidade </t>
    </r>
    <r>
      <rPr>
        <i/>
        <sz val="10"/>
        <color rgb="FFFF0000"/>
        <rFont val="Arial"/>
        <family val="2"/>
      </rPr>
      <t>salário-base*30%</t>
    </r>
  </si>
  <si>
    <t>Adicional de insalubridade</t>
  </si>
  <si>
    <t>Adicional noturno</t>
  </si>
  <si>
    <t>Adicional de hora noturna reduzida</t>
  </si>
  <si>
    <t xml:space="preserve">Outros: </t>
  </si>
  <si>
    <t>Nota 1: O Módulo 1 refere-se ao valor mensal devido ao empregado pela prestação do serviço no período de 12 meses.</t>
  </si>
  <si>
    <t>MÓDULO 2 : ENCARGOS E BENEFÍCIOS ANUAIS, MENSAIS E DIÁRIOS</t>
  </si>
  <si>
    <t>2.1</t>
  </si>
  <si>
    <t>13º (décimo terceiro) salário, férias e adicional de férias</t>
  </si>
  <si>
    <r>
      <rPr>
        <sz val="10"/>
        <color rgb="FF000000"/>
        <rFont val="Arial"/>
        <family val="2"/>
      </rPr>
      <t xml:space="preserve">13º salário </t>
    </r>
    <r>
      <rPr>
        <i/>
        <sz val="10"/>
        <color rgb="FFFF0000"/>
        <rFont val="Arial"/>
        <family val="2"/>
      </rPr>
      <t>Obrigatória a cotação de 8,33% sobre o valor do Módulo 1 – Composição da Remuneração, conforme Anexo XII da IN 5/17</t>
    </r>
    <r>
      <rPr>
        <sz val="10"/>
        <color rgb="FF000000"/>
        <rFont val="Arial"/>
        <family val="2"/>
      </rPr>
      <t xml:space="preserve">  </t>
    </r>
  </si>
  <si>
    <t xml:space="preserve">C </t>
  </si>
  <si>
    <t>Nota 1: Como a planilha de custos e formação de preços é calculada mensalmente, provisiona-se proporcionalmente 1/12 (um doze avos) dos valores referentes a gratificação natalina, férias e adicional de férias. (Redação dada pela Instrução Normativa nº 7, de 2018)
Nota 2: O adicional de férias contido no Submódulo 2.1 corresponde a 1/3 (um terço) da remuneração que por sua vez é divido por 12 (doze) conforme Nota 1 acima.
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t>
  </si>
  <si>
    <t>BASE DE CÁLCULO PARA O MÓDULO 2.2</t>
  </si>
  <si>
    <t>MÓDULO 2.1</t>
  </si>
  <si>
    <t>SUBMÓDULO 2.2 - ENCARGOS PREVIDENCIÁRIOS (GPS), FUNDO DE GARANTIA POR TEMPO DE
 SERVIÇO E OUTRAS CONTRIBUIÇÕES</t>
  </si>
  <si>
    <t>2.2</t>
  </si>
  <si>
    <t>GPS, FGTS e Outras Contribuições</t>
  </si>
  <si>
    <r>
      <rPr>
        <sz val="10"/>
        <color rgb="FF000000"/>
        <rFont val="Arial"/>
        <family val="2"/>
      </rPr>
      <t xml:space="preserve">INSS </t>
    </r>
    <r>
      <rPr>
        <i/>
        <sz val="10"/>
        <color rgb="FFFF0000"/>
        <rFont val="Arial"/>
        <family val="2"/>
      </rPr>
      <t>(Módulo1 + SubMódulo 2.1)*Alíquota</t>
    </r>
  </si>
  <si>
    <r>
      <rPr>
        <sz val="10"/>
        <color rgb="FF000000"/>
        <rFont val="Arial"/>
        <family val="2"/>
      </rPr>
      <t xml:space="preserve">Salário educação </t>
    </r>
    <r>
      <rPr>
        <i/>
        <sz val="10"/>
        <color rgb="FFFF0000"/>
        <rFont val="Arial"/>
        <family val="2"/>
      </rPr>
      <t>(Módulo1 + SubMódulo 2.1)*Alíquota</t>
    </r>
  </si>
  <si>
    <r>
      <rPr>
        <sz val="10"/>
        <color rgb="FF000000"/>
        <rFont val="Arial"/>
        <family val="2"/>
      </rPr>
      <t xml:space="preserve">SAT </t>
    </r>
    <r>
      <rPr>
        <i/>
        <sz val="10"/>
        <color rgb="FFFF0000"/>
        <rFont val="Arial"/>
        <family val="2"/>
      </rPr>
      <t>(SAT=RATxFAP) (Módulo1 + SubMódulo 2.1)*Alíquota</t>
    </r>
  </si>
  <si>
    <r>
      <rPr>
        <sz val="10"/>
        <color rgb="FF000000"/>
        <rFont val="Arial"/>
        <family val="2"/>
      </rPr>
      <t xml:space="preserve">SESC ou SESI </t>
    </r>
    <r>
      <rPr>
        <i/>
        <sz val="10"/>
        <color rgb="FFFF0000"/>
        <rFont val="Arial"/>
        <family val="2"/>
      </rPr>
      <t>(Módulo1 + SubMódulo 2.1)*Alíquota</t>
    </r>
  </si>
  <si>
    <r>
      <rPr>
        <sz val="10"/>
        <color rgb="FF000000"/>
        <rFont val="Arial"/>
        <family val="2"/>
      </rPr>
      <t xml:space="preserve">SENAI ou SENAC </t>
    </r>
    <r>
      <rPr>
        <i/>
        <sz val="10"/>
        <color rgb="FFFF0000"/>
        <rFont val="Arial"/>
        <family val="2"/>
      </rPr>
      <t>(Módulo1 + SubMódulo 2.1)*Alíquota</t>
    </r>
  </si>
  <si>
    <r>
      <rPr>
        <sz val="10"/>
        <color rgb="FF000000"/>
        <rFont val="Arial"/>
        <family val="2"/>
      </rPr>
      <t xml:space="preserve">SEBRAE </t>
    </r>
    <r>
      <rPr>
        <i/>
        <sz val="10"/>
        <color rgb="FFFF0000"/>
        <rFont val="Arial"/>
        <family val="2"/>
      </rPr>
      <t>(Módulo1 + SubMódulo 2.1)*Alíquota</t>
    </r>
  </si>
  <si>
    <t>G</t>
  </si>
  <si>
    <r>
      <rPr>
        <sz val="10"/>
        <color rgb="FF000000"/>
        <rFont val="Arial"/>
        <family val="2"/>
      </rPr>
      <t xml:space="preserve">INCRA </t>
    </r>
    <r>
      <rPr>
        <i/>
        <sz val="10"/>
        <color rgb="FFFF0000"/>
        <rFont val="Arial"/>
        <family val="2"/>
      </rPr>
      <t>(Módulo1 + SubMódulo 2.1)*Alíquota</t>
    </r>
  </si>
  <si>
    <t>I</t>
  </si>
  <si>
    <t>FGTS</t>
  </si>
  <si>
    <t>Nota 1: Os percentuais dos encargos previdenciários, do FGTS e demais contribuições são aqueles estabelecidos pela legislação vigente.
Nota 2: O SAT a depender do grau de risco do serviço irá variar entre 1%, para risco leve, de 2%, para risco médio, e de 3% de risco grave.
Nota 3: Esses percentuais incidem sobre o Módulo 1, o Submódulo 2.1. (Redação dada pela Instrução Normativa nº 7, de 2018)</t>
  </si>
  <si>
    <t>SUBMÓDULO 2.3 - BENEFÍCIOS MENSAIS E DIÁRIOS</t>
  </si>
  <si>
    <t>2.3</t>
  </si>
  <si>
    <t>Benefícios mensais e diários</t>
  </si>
  <si>
    <t>Custo Efetivo Vale Transporte</t>
  </si>
  <si>
    <t>A.1) Valor da passagem do transporte coletivo no município de prestação dos serviços:</t>
  </si>
  <si>
    <t>-</t>
  </si>
  <si>
    <t>A.2) Quantidade de passagens por mês por empregado:</t>
  </si>
  <si>
    <t>A.3) Percentual do desconto no Salário Base:</t>
  </si>
  <si>
    <r>
      <rPr>
        <sz val="10"/>
        <color rgb="FF000000"/>
        <rFont val="Arial"/>
        <family val="2"/>
      </rPr>
      <t>Custo Efetivo do Auxílio-Refeição/Alimentação</t>
    </r>
    <r>
      <rPr>
        <sz val="10"/>
        <color rgb="FFFF0000"/>
        <rFont val="Arial"/>
        <family val="2"/>
      </rPr>
      <t xml:space="preserve"> (Cláusula Décima Terceira da GO000018/2023)</t>
    </r>
  </si>
  <si>
    <r>
      <rPr>
        <sz val="10"/>
        <color rgb="FF000000"/>
        <rFont val="Arial"/>
        <family val="2"/>
      </rPr>
      <t xml:space="preserve">IAFAS </t>
    </r>
    <r>
      <rPr>
        <sz val="10"/>
        <color rgb="FFFF0000"/>
        <rFont val="Arial"/>
        <family val="2"/>
      </rPr>
      <t>(Cláusula Décima Oitava da GO000709/2022)</t>
    </r>
  </si>
  <si>
    <r>
      <rPr>
        <sz val="10"/>
        <color rgb="FF000000"/>
        <rFont val="Arial"/>
        <family val="2"/>
      </rPr>
      <t xml:space="preserve">Seguro de Vida </t>
    </r>
    <r>
      <rPr>
        <sz val="10"/>
        <color rgb="FFFF0000"/>
        <rFont val="Arial"/>
        <family val="2"/>
      </rPr>
      <t>(Cláusula Décima Sétima da GO000091/2022)</t>
    </r>
  </si>
  <si>
    <t>Nota 1: O valor informado deverá ser o custo real do benefício (descontado o valor eventualmente pago pelo empregado).
Nota 2: Observar a previsão dos benefícios contidos em Acordos, Convenções e Dissídios Coletivos de Trabalho e atentar-se ao disposto no art. 6º desta Instrução Normativa.</t>
  </si>
  <si>
    <t>Quadro-resumo - Módulo 2 - Encargos e Benefícios Anuais, Mensais e Diários</t>
  </si>
  <si>
    <t>Módulo 2 - Encargos e Benefícios Anuais, Mensais e Diários</t>
  </si>
  <si>
    <t>MÓDULO 5: INSUMOS DIVERSOS</t>
  </si>
  <si>
    <t>Insumos diversos</t>
  </si>
  <si>
    <t>Uniformes</t>
  </si>
  <si>
    <t>Materiais</t>
  </si>
  <si>
    <r>
      <t>Equipamentos</t>
    </r>
    <r>
      <rPr>
        <b/>
        <sz val="10"/>
        <color indexed="10"/>
        <rFont val="Arial"/>
        <family val="2"/>
        <charset val="1"/>
      </rPr>
      <t/>
    </r>
  </si>
  <si>
    <t>BASE DE CÁLCULO PARA O MÓDULO 6 = MÓDULO 1 + MÓDULO 2 = MÓDULO 3
 + MÓDULO 4 + MÓDULO 5</t>
  </si>
  <si>
    <t>MÓDULO 2</t>
  </si>
  <si>
    <t>MÓDULO 4</t>
  </si>
  <si>
    <t>MÓDULO 5</t>
  </si>
  <si>
    <t>MÓDULO 6 - CUSTOS INDIRETOS, TRIBUTOS E LUCRO</t>
  </si>
  <si>
    <t>Custos indiretos, tributos e lucro</t>
  </si>
  <si>
    <r>
      <rPr>
        <sz val="10"/>
        <color rgb="FF000000"/>
        <rFont val="Arial"/>
        <family val="2"/>
      </rPr>
      <t xml:space="preserve">Custos Indiretos (Percentual da empresa)  </t>
    </r>
    <r>
      <rPr>
        <i/>
        <sz val="10"/>
        <color rgb="FFFF0000"/>
        <rFont val="Arial"/>
        <family val="2"/>
      </rPr>
      <t>(somatório dos módulos 1,2,3,4 e 5)*alíquota%</t>
    </r>
  </si>
  <si>
    <r>
      <rPr>
        <sz val="10"/>
        <color rgb="FF000000"/>
        <rFont val="Arial"/>
        <family val="2"/>
      </rPr>
      <t>Lucro (Percentual da empresa)</t>
    </r>
    <r>
      <rPr>
        <i/>
        <sz val="10"/>
        <color rgb="FFFF0000"/>
        <rFont val="Arial"/>
        <family val="2"/>
      </rPr>
      <t xml:space="preserve"> (somatório dos módulos 1,2,3,4, 5 + CI)*alíquota%</t>
    </r>
  </si>
  <si>
    <t>Tributos</t>
  </si>
  <si>
    <t xml:space="preserve">C.1. Tributos Federais </t>
  </si>
  <si>
    <r>
      <rPr>
        <sz val="10"/>
        <color rgb="FF000000"/>
        <rFont val="Arial"/>
        <family val="2"/>
      </rPr>
      <t xml:space="preserve">a) PIS </t>
    </r>
    <r>
      <rPr>
        <i/>
        <sz val="10"/>
        <color rgb="FFFF0000"/>
        <rFont val="Arial"/>
        <family val="2"/>
      </rPr>
      <t xml:space="preserve">(somatório dos módulos 1,2,3,4,5 + CI + Lucro) / (1-%tributos)*alíquota% </t>
    </r>
  </si>
  <si>
    <r>
      <rPr>
        <sz val="10"/>
        <color rgb="FF000000"/>
        <rFont val="Arial"/>
        <family val="2"/>
      </rPr>
      <t>b) Cofins</t>
    </r>
    <r>
      <rPr>
        <i/>
        <sz val="10"/>
        <color rgb="FFFF0000"/>
        <rFont val="Arial"/>
        <family val="2"/>
      </rPr>
      <t xml:space="preserve"> (somatório dos módulos 1,2,3,4,5 + CI + Lucro) / (1-%tributos)*alíquota%</t>
    </r>
  </si>
  <si>
    <t>C.2. Tributos Estaduais</t>
  </si>
  <si>
    <t>C.3. Tributos Municipais</t>
  </si>
  <si>
    <r>
      <rPr>
        <sz val="10"/>
        <color rgb="FF000000"/>
        <rFont val="Arial"/>
        <family val="2"/>
      </rPr>
      <t xml:space="preserve">a) ISS  </t>
    </r>
    <r>
      <rPr>
        <i/>
        <sz val="10"/>
        <color rgb="FFFF0000"/>
        <rFont val="Arial"/>
        <family val="2"/>
      </rPr>
      <t>(somatório dos módulos 1,2,3,4,5 + CI + Lucro) / (1-%tributos)*alíquota%</t>
    </r>
  </si>
  <si>
    <t>Nota 1: Custos Indiretos, Tributos e Lucro por empregado.
Nota 2: O valor referente a tributos é obtido aplicando-se o percentual sobre o valor do faturamento.</t>
  </si>
  <si>
    <t>2. QUADRO-RESUMO DO CUSTO POR EMPREGADO</t>
  </si>
  <si>
    <t>Mão de obra vinculada à execução contratual (valor por empregado)</t>
  </si>
  <si>
    <t>Módulo 1 - Composição da remuneração</t>
  </si>
  <si>
    <t>Módulo 3 - Provisão para Rescisão</t>
  </si>
  <si>
    <t>Módulo 5 - Insumos diversos</t>
  </si>
  <si>
    <t>Subtotal (A + B + C + D + E)</t>
  </si>
  <si>
    <t>Módulo 6 - Custos indiretos, tributos e lucro</t>
  </si>
  <si>
    <t>Valor total por empregado</t>
  </si>
  <si>
    <r>
      <t xml:space="preserve">Férias e </t>
    </r>
    <r>
      <rPr>
        <sz val="10"/>
        <color rgb="FF000000"/>
        <rFont val="Arial"/>
        <family val="2"/>
      </rPr>
      <t>Adicional de Férias -</t>
    </r>
    <r>
      <rPr>
        <sz val="10"/>
        <color rgb="FFFF0000"/>
        <rFont val="Arial"/>
        <family val="2"/>
      </rPr>
      <t xml:space="preserve"> </t>
    </r>
    <r>
      <rPr>
        <i/>
        <sz val="10"/>
        <color rgb="FFFF0000"/>
        <rFont val="Arial"/>
        <family val="2"/>
      </rPr>
      <t>Obrigatória a cotação de 3,025% sobre o valor do Módulo 1 – Composição da Remuneração, conforme Anexo XII da IN 5/17 (Férias + Adicional = 9,075% + 3,025% = 12,10%)</t>
    </r>
  </si>
  <si>
    <t xml:space="preserve">RAT: 3 </t>
  </si>
  <si>
    <t>FAP: 0,5</t>
  </si>
  <si>
    <t>Taxa de Aprimoramento</t>
  </si>
  <si>
    <t>Tabela 2- materiais de limpeza</t>
  </si>
  <si>
    <t>Item</t>
  </si>
  <si>
    <t>Especificação</t>
  </si>
  <si>
    <t>Unidade</t>
  </si>
  <si>
    <t>MARCA OFERTADA</t>
  </si>
  <si>
    <t>QTD. ANUAL</t>
  </si>
  <si>
    <t xml:space="preserve">VALOR UNITARIO </t>
  </si>
  <si>
    <t xml:space="preserve">VALOR TOTAL </t>
  </si>
  <si>
    <t>Água sanitária, composição química hipoclorito de sódio, hidróxido de sódio, cloreto, teor cloro ativo varia de 2 a 2,50%, classe corrosivo classe 8, número risco 85, risco saúde 3, corrosividade 1, peso molecular cloro 74,50, densidade de 1,20 a 1, cor incolor, aplicação lavagem e alvejante de roupas, banheiras, pias, galão de 5 litros</t>
  </si>
  <si>
    <t>GL</t>
  </si>
  <si>
    <t>Q-boa</t>
  </si>
  <si>
    <t xml:space="preserve">Gel Alcool 70% Antissépico, Alcohol, Aqua, Propylene Glycol, Sorbitol, Aminomethyl Propanol, Carbomer, Denatonium Benzoate, refill para dispenser de 800 mg, </t>
  </si>
  <si>
    <t>REFIL 800 ML</t>
  </si>
  <si>
    <t>Premisse</t>
  </si>
  <si>
    <t>Álcool etílico, tipo hidratado, teor alcoólico 70%_(70¨gl), apresentação líquido, para limpeza de superfícies.</t>
  </si>
  <si>
    <t>LT</t>
  </si>
  <si>
    <t>Cruzeiro</t>
  </si>
  <si>
    <t>Aromatizante ambiental, aromas diversos, aplicação geral, apresentação aerossol, características adicionais biodegradável, frasco de 300 a 360ml.</t>
  </si>
  <si>
    <t>FRASCO</t>
  </si>
  <si>
    <t xml:space="preserve">Bom ar </t>
  </si>
  <si>
    <t>Balde, material plástico, tamanho médio, material, alça arame galvanizado, capacidade 12 L, cor preta.</t>
  </si>
  <si>
    <t>UNIDADE</t>
  </si>
  <si>
    <t>Plasútil</t>
  </si>
  <si>
    <t>Desinfetante concentrado para limpeza geral, galão com 5 litros.</t>
  </si>
  <si>
    <t>Detergente, composição agente alcalino soluente e detergente sintético, componente ativo linear alquibenzeno sulfonato de sódio, aplicação remoção gordura e sujeira em geral, aroma neutro, tensoativo e biodegradável. Galão de 5 litros.</t>
  </si>
  <si>
    <t>Ype</t>
  </si>
  <si>
    <t>Escova de mão, cerdas em naylon, cepo de madeira ou plástico, para limpeza geral.</t>
  </si>
  <si>
    <t>Condor</t>
  </si>
  <si>
    <t>Escova limpeza geral, material corpo plástico, material cerdas polipropileno, copo plástico, para limpeza de vaso sanitário</t>
  </si>
  <si>
    <t>Esponja limpeza, material fibra sintética, formato retangular, abrasividade alta, aplicação utensílios domésticos, dupla face.</t>
  </si>
  <si>
    <t>Scoth Brite</t>
  </si>
  <si>
    <t>Esponja limpeza, material lã aço, formato anatômico, abrasividade mínima, aplicação utensílios de alumínio.</t>
  </si>
  <si>
    <t>PACOTE</t>
  </si>
  <si>
    <t>Assolan</t>
  </si>
  <si>
    <t>Esponja limpeza, material fibra sintética, abrasividade alta, aplicação serviço pesado, comprimento mínimo 260, largura mínima 102.</t>
  </si>
  <si>
    <t>Flanela, comprimento 40cm, largura 30cm, cor amarela ou branca.</t>
  </si>
  <si>
    <t>Entrevin</t>
  </si>
  <si>
    <t>Inseticida uso geral, frasco de 300 a 360ml</t>
  </si>
  <si>
    <t>Raid</t>
  </si>
  <si>
    <t>Lustrador de móveis, componentes base de silicone, aroma lavanda, aplicação móveis e superfícies lisas, aspecto físico líquido.</t>
  </si>
  <si>
    <t>Luva segurança, material látex natural, aplicação manuseio de agentes abrasivos e escoriantes, características adicionais superfície externa antiderrapante, espessura 0,35, comprimento 30,
forma anatômica, modelo palma antiderrapante, cor amarela, largura 10, gramatura 100.</t>
  </si>
  <si>
    <t>PAR</t>
  </si>
  <si>
    <t>Soft</t>
  </si>
  <si>
    <t>Luva segurança, material látex, tamanho 9 polegadas, aplicação manuseio material fotossanitário, características adicionais ambidestra e diâmetro fixação de 156 mm, comprimento 800mm,
forma cônica.</t>
  </si>
  <si>
    <t>Papel higiênico, material 100% fibras virgens celulósicas, comprimento 300m, largura 10cm, de boa qualidade, biodegradável, fardo contendo 8
rolos</t>
  </si>
  <si>
    <t>FARDO</t>
  </si>
  <si>
    <t>Multipel</t>
  </si>
  <si>
    <t>Papel Toalha, comprimento 200m, largura 20cm, 100% celulose, fibras virgens, fardo contendo 6 rolos.</t>
  </si>
  <si>
    <t>Pano limpeza, material 100% algodão, comprimento 70cm, largura 40cm, alvejado com bainha.</t>
  </si>
  <si>
    <t>Limppano</t>
  </si>
  <si>
    <t>Pá coletora lixo, material coletor plástico, material cabo metal revestido com plástico, comprimento cabo 80cm, comprimento 25cm, largura 20cm,
modelo sem tampa, características adicionais cabo e coletor em ângulo de 90º.</t>
  </si>
  <si>
    <t>Polidor, aspecto físico líquido branco-amarelado, composição agente polimento/solvente petróleo/oleína/, aplicação prata e metais cromados.</t>
  </si>
  <si>
    <t>Kaol</t>
  </si>
  <si>
    <t>Pulverizador portátil, material plástico, capacidade 0,50L, aplicação água e líquidos diversos, características adicionais manual / tipo pistola.</t>
  </si>
  <si>
    <t>Guarani</t>
  </si>
  <si>
    <t>Removedor, tipo alcalino, cor incolor, aspecto físico líquido, aplicação manutenção e conservação bens
imóveis, características adicionais biodegradável, PH neutro, atóxico, não inflamável, galão de 5 litros.</t>
  </si>
  <si>
    <t>3A</t>
  </si>
  <si>
    <t>Rodo, cabo madeira, suporte madeira, comprimento suporte 40cm, cor suporte e cabo natural, quantidade borrachas 2.</t>
  </si>
  <si>
    <t>Varrebrás</t>
  </si>
  <si>
    <t>Rodo, cabo madeira, suporte madeira, comprimento suporte 60cm, cor suporte e cabo natural, quantidade borrachas 2.</t>
  </si>
  <si>
    <t>Sabonete de espuma, Aqua, Sodium Laureth Sulfate, Cocamidopropyl Betaine, PEG-7 Glyceryl Cocoate, Parfum, Glycerin, Methylchloroisothiazolinone / Methylisothiazolinone, Citric Acid e  os corantes CI 19140 e CI 42090,destinada a limpeza suave das mãos e do rosto, refill para dispenser de 700 ml</t>
  </si>
  <si>
    <t>REFIL 700 ML</t>
  </si>
  <si>
    <t>Kleenex</t>
  </si>
  <si>
    <t>Sabão pó, aplicação limpeza geral, aspecto físico pó, características adicionais biodegradável, caixa com
1kg.</t>
  </si>
  <si>
    <t>CAIXA</t>
  </si>
  <si>
    <t>Ypê, Omo, Assim
ou similar</t>
  </si>
  <si>
    <t>Saco plástico lixo, capacidade 100L, cor preta, largura 75cm, altura 105cm, características adicionais com solda contínua, sem fechos, aplicação coleta seletiva, normas técnicas classe I,
tipo E, material resina termoplástica reciclada, fardo com 100 unidades.</t>
  </si>
  <si>
    <t>Brasplástico,
Braslixo ou similar</t>
  </si>
  <si>
    <t>Saco plástico lixo, capacidade 50L, cor preta, largura 63cm, altura 80cm, características adicionais com
solda contínua, aplicação coleta seletiva, material polietileno alta densidade, fardo com 100 unidades.</t>
  </si>
  <si>
    <t>Saco plástico lixo, capacidade 100L, cor azul, largura 75cm, altura 105cm, solda contínua, aplicação coleta seletiva, normas técnicas classe I, tipo E, material
resina termoplástica reciclada, fardo com 100 unidades.</t>
  </si>
  <si>
    <t>Brasplástico, Braslixo ou similar</t>
  </si>
  <si>
    <t>Saco plástico lixo, capacidade 50L, cor azul, largura 63cm, altura 80cm, características adicionais com solda contínua, aplicação coleta seletiva, normas técnicas classe I, tipo C, material resina termoplástica reciclada.</t>
  </si>
  <si>
    <t>Saponáceo, composição detergente, aplicação limpeza pisos, paredes e louças, características.</t>
  </si>
  <si>
    <t>Sapóleo</t>
  </si>
  <si>
    <t>Vassoura, material cerdas crina, cabo madeira, cepa madeira, comprimento 40cm, comprimento cerdas mínimo 5cm, características adicionais com cabo rosqueado.</t>
  </si>
  <si>
    <t>Vassoura, material cerdas crina, material cabo madeira, cepa madeira comprimento 60cm, comprimento cerdas mínimo 5cm, características adicionais com cabo colado.</t>
  </si>
  <si>
    <t>Vassoura, material cerdas palha, material cabo madeira, comprimento cerdas 60cm, com cabo comprido, aplicação limpeza em geral.</t>
  </si>
  <si>
    <t>Vassoura, cerdas de piaçava, cabo madeira, cepa madeira comprimento 17cm, comprimento cerdas 13cm, com cabo colado.</t>
  </si>
  <si>
    <t>São Bernardo</t>
  </si>
  <si>
    <t>Máscara de proteção individual  (EPI) Caixa com 50 unidades</t>
  </si>
  <si>
    <t>3M</t>
  </si>
  <si>
    <t>Limpa ceramica, azuleijos e rejunte, Ácido clorídrico, nonilfenol etoxilado, lauril éter sulfato de sódio, fragancia, corante, veículo, removedor de sujeiras, manchas e incrustações em superfícies cerâmicas (pisos e azulejos), galão de  5 Litros.</t>
  </si>
  <si>
    <t>GL 5 LITROS</t>
  </si>
  <si>
    <t>Azulim</t>
  </si>
  <si>
    <t>Pedra sanitária, Dodecilbenzeno Sulfonato de Sódio, Ácool Etoxilado, Cloreto de Tetradecil Dimetil Benzil Amônio, Coadjuvantes, Espessante, Acidificante, Fragrância e Corantes, desorizante sanitário que inibe o crescimento das bactérias, deixando o vaso limpo e perfumado, unidade com 25 gramas.</t>
  </si>
  <si>
    <t>UNIDADE 25 GRAMAS</t>
  </si>
  <si>
    <t>Pato ou Glade</t>
  </si>
  <si>
    <t>Fibra de limpeza pesada, cor verde, altura 225mm, Largura 110mm, comprimento 12mm.</t>
  </si>
  <si>
    <t>Saco de lixo reforçado,  capacidade 20 litros, cor preta, Largura 38cm, altura 58cm, características adicionais com
solda contínua, aplicação coleta seletiva, material polietileno alta densidade, fardo com 100 unidades.</t>
  </si>
  <si>
    <t>FARDO COM 100 UNIDADES</t>
  </si>
  <si>
    <t>Braslixo</t>
  </si>
  <si>
    <t>Disco Preto Abrasivo Para Enceradeira, Limpeza De Pisos 350mm, Altura 37 cm, Largura 37 cm, comprimento 4 cm.</t>
  </si>
  <si>
    <t>Cera Acrilica para piso, Agente formador de filme, platisficante, aditivo, adjuvante, coadjuvante, agente nivelador, conservante, veículo, profissional, para alto trafego de pessoas, galão de 5 Litros.</t>
  </si>
  <si>
    <t>GALÃO 5 LITROS</t>
  </si>
  <si>
    <t>Start</t>
  </si>
  <si>
    <t>Sabão em barra, composição química Sabão de Ácidos Graxos Láuricos, Sabão de Ácidos Graxos Esteáricos, Sabão de Ácidos Graxos Oleicos, Coadjuvante, Glicerina, Agente Anti-redepositante e Água, 5 barras de 180g, embalagem de 900gr.</t>
  </si>
  <si>
    <t xml:space="preserve">PACOTE  5 UNIDADES </t>
  </si>
  <si>
    <t>Combinado 2 em 1 Limpa Vidros largura 25 cm, comprimento 10 cm, altura 60 cm cabo CB250, equipamento formado por um LAVADOR, com luva de acrílico e por um LIMPADOR de vidros, com guia de metal e lâmina de borracha.</t>
  </si>
  <si>
    <t>Bralimpia</t>
  </si>
  <si>
    <t>Spray Brilha Inox (para elevadores), composto de óleo mineral branco, emulsificante, agente de controle de PH, veículo, propelente em uma embalagem aerossol, fácil e prático de ser aplicado, frasco de 400 ML</t>
  </si>
  <si>
    <t>FRASCO 400 ML</t>
  </si>
  <si>
    <t>Espatula de aço 15cm, Cor Preta, Material Aço Inoxidável, Altura 1,50 cm, Largura 15 cm, Profundidade 21 cm, Peso: 100g</t>
  </si>
  <si>
    <t>Atlas</t>
  </si>
  <si>
    <t>Limpador Multi Uso Concentrado,  ingredientes Ativos lauramina Óxida, Lauril Éter Sulfato De Sódio, Alcalinizante, Coadjuvantes, Conservante, Fragrância, Água, galão de 5 litros.</t>
  </si>
  <si>
    <t>Veja</t>
  </si>
  <si>
    <t>Papel Toalha Interfolhado Folha Dupla, Largura 23cm, Altura 12cm, comprimento 11cm, pacote de 360g, contendo 200 Folhas,</t>
  </si>
  <si>
    <t>PACOTE 200 FOLHAS</t>
  </si>
  <si>
    <t>Scott</t>
  </si>
  <si>
    <t>LIMPA PEDRAS 5L PEDREX, composição química ácido sulfônico, ácidos inorgânicos, coadjuvante, corante, água, aspecto físico liquido, cor preto, acidez 3,5 - 4,8 ml de NaOH 0,2N, galão de 5 litros.</t>
  </si>
  <si>
    <t>Carpetex, limpeza e conservação de carpetes, tapetes, estofados de tecido, composição Lauril Éter Sulfato de Sódio, Coadjuvante, Solvestes, Sequestrante,Acidificante, Espessante, Conservantes, Essência, veículo, galão de 5 litros.</t>
  </si>
  <si>
    <t xml:space="preserve">TOTAL  ANUAL </t>
  </si>
  <si>
    <t xml:space="preserve">TOTAL MENSAL </t>
  </si>
  <si>
    <t>TOTAL MENSAL  POR SERVENTE</t>
  </si>
  <si>
    <t>Observação: Para fins de composição de planilha, o valor total de materiais (que será utilizado para todos os serviços, inclusive limpeza de esquadrias face interna e fachada envidraçada) foi dividido por 14, e incluído na planilha dos (14) serventes fixos de limpeza.</t>
  </si>
  <si>
    <t>Tabela 3 – Maquinas e ferramentas a serem disponibilizadas</t>
  </si>
  <si>
    <t>Descrição</t>
  </si>
  <si>
    <t>QUANT</t>
  </si>
  <si>
    <t>VALOR UNITÁRIO DE AQUISIÇÃO</t>
  </si>
  <si>
    <t>VALOR TOTAL ANUAL DE AQUISIÇÃO</t>
  </si>
  <si>
    <t>Aspirador de pó e água, capacidade
de 12 litros, recipiente em inox de alta
resistência, cabo de energia com 5
metros.</t>
  </si>
  <si>
    <t>Electrolux</t>
  </si>
  <si>
    <t>Aparador grama, sistema corte por fio
de náilon, faixa corte 25cm, espessura
fio náilon 1,80mm, potência 900w,
rotação 7.000rpm, voltagem 220v, tipo
lâmina rotativa, elétrico, motor
monofásico.</t>
  </si>
  <si>
    <t>Trapp</t>
  </si>
  <si>
    <t>Carrinho de limpeza multifuncional
com prateleiras, suporte para
vassouras/rodos, espaço para apoio
de balde/mop</t>
  </si>
  <si>
    <t>Superpro</t>
  </si>
  <si>
    <t>Enceradeira, tipo industrial, potência
motor 1CV, tipo motor monofásico,
tensão alimentação 110 / 220,
diâmetro escova 40 cm</t>
  </si>
  <si>
    <t>Plus cleaner sales</t>
  </si>
  <si>
    <t>Lavadora alta pressão, pressão 800,
vazão 360l/h, tensão 110/220,
características adicionais gatilho autodesligável
jato regulável e misturador</t>
  </si>
  <si>
    <t>Wap</t>
  </si>
  <si>
    <t xml:space="preserve">Conteiner com rodas, confeccionado em PEAD (polietileno de alta densidade), capacidade entre 400 e 500 litros, para transporte de lixo </t>
  </si>
  <si>
    <t>Verma</t>
  </si>
  <si>
    <t>Escada, material alumínio, tipo
dobrável, quantidade degraus 5,
características adicionais patamar
emborrachado/antiderrapante, calço
de borracha.</t>
  </si>
  <si>
    <t>Suprema</t>
  </si>
  <si>
    <t>Escada dobrável com 16 degraus,
4x4, em alumínio.</t>
  </si>
  <si>
    <t>Mor</t>
  </si>
  <si>
    <t>Facão, material lâmina aço, material
cabo madeira, comprimento 20
polegadas, para mato.</t>
  </si>
  <si>
    <t>Tramontina</t>
  </si>
  <si>
    <t>Kit para lavagem de vidros composto
por: Lavador de vidros, guia removível
de aproximadamente 25mm, cabo de
fixação, raspador de segurança, guia
removível de 35mm</t>
  </si>
  <si>
    <t>Braslimp</t>
  </si>
  <si>
    <t xml:space="preserve">Placa de identificação, material pvc,
comprimento 65, altura 30,
características adicionais dobrável,
frente e verso, ´cuidado, piso
molhado´, acabamento superficial
letras pretas, cor amarela </t>
  </si>
  <si>
    <t>Vonder</t>
  </si>
  <si>
    <t xml:space="preserve">Tesoura poda, material lâmina aço
SAE 1.060, material cabo madeira,
peso 660, comprimento cabo
21,50cm, uso para cerca viva,
aplicação jardinagem. </t>
  </si>
  <si>
    <t>Vassoura jardinagem, tipo fixa, altura
44,50, material cerdas palha, tipo
lâmina metálica e chata, quantidade
palha 22, características adicionais
cabo regulável e largura 37,40cm</t>
  </si>
  <si>
    <t>VALOR TOTAL DA AQUISIÇÃO DOS BENS E EQUIPAMENTOS</t>
  </si>
  <si>
    <t>VALOR TOTAL ANUAL DA DEPRECIAÇÃO DOS BENS  EXCLUÍDO O VALOR RESIDUAL, CONSIDERANDO A VIDA ÚTIL DO BEM DE ACORDO COM AS REGRAS DA LEGISLAÇÃO FISCAL FEDERAL E NORMAS CORRELATAS</t>
  </si>
  <si>
    <t>VALOR MENSAL DA DEPRECIAÇÃO  POR POSTO FIXO DE TRABALHO</t>
  </si>
  <si>
    <t>VALOR MENSAL DA MANUTENÇÃO + DEPRECIAÇÃO POR POSTO DE TRABALHO</t>
  </si>
  <si>
    <t>Observação: Para fins de composição de planilha, o valor total do Quadro 3 (que será utilizado para todos os serviços, inclusive limpeza de esquadrias face interna e fachada envidraçada) ) foi dividido por 14, e incluído na planilha dos (14) serventes fixos de limpeza.</t>
  </si>
  <si>
    <t>Tabela 4 – Dispensers e acessórios a serem disponibilizados:</t>
  </si>
  <si>
    <t>VALOR UNITÁRIO DE AQUISIÇÃO DOS BENS</t>
  </si>
  <si>
    <t xml:space="preserve">VALOR TOTAL DE AQUISIÇÃO DOS BENS </t>
  </si>
  <si>
    <t>Cesto lixo, material polietileno reciclado, capacidade entre 15L e 30L, características adicionais sem tampa, formato cilíndrico, em material plástico.</t>
  </si>
  <si>
    <t>Dispensador para álcool gel, em ABS, com suporte para parede, capacidade de 500ml.</t>
  </si>
  <si>
    <t>Requinte (melhoramentos)</t>
  </si>
  <si>
    <t>Dispensador para papel toalha tipo bobina, capacidade para bobinas de até 300m, largura da bobina até 22cm, com mecanismo de corte automático do papel.</t>
  </si>
  <si>
    <t>Dispensador para papel higiênico tipo rolão, capacidade para rolos de até 500m, largura do papel de 10cm.</t>
  </si>
  <si>
    <t>Dispensador para sabonete líquido, tipo “espuma”, capacidade de 500ml, em ABS.</t>
  </si>
  <si>
    <t xml:space="preserve">Lixeiras para banheiros coletivos e individuais </t>
  </si>
  <si>
    <t>Astra</t>
  </si>
  <si>
    <t>VALOR TOTAL DA AQUISIÇÃO DOS BENS</t>
  </si>
  <si>
    <t>VALOR TOTAL MENSAL DA DEPRECIAÇÃO+ MANUTENÇÃO</t>
  </si>
  <si>
    <t>VALOR MENSAL DA MANUTENÇÃO + DEPRECIAÇÃO POR POSTO</t>
  </si>
  <si>
    <t>Observação: Para fins de composição de planilha, o valor total do Quadro 4 (que será utilizado para todos os serviços, inclusive limpeza de esquadrias face interna e fachada envidraçada)) foi dividido por 14, e incluído na planilha dos (14) serventes fixos de limpeza. O tempo de depreciação adotado para os bens desse quadro foi de 60 meses conforme previsto na INSTRUÇÃO NORMATIVA RFB Nº 1700, DE 14 DE MARÇO DE 2017</t>
  </si>
  <si>
    <t>Tabela 5 – Equipamentos e EPIs para Lavador de Fachadas</t>
  </si>
  <si>
    <t>ITEM</t>
  </si>
  <si>
    <t>Balancinho para pintura e limpeza de fachada predial em alturas, com cabo de aço de 50m.</t>
  </si>
  <si>
    <t>CELPAN</t>
  </si>
  <si>
    <t>Cinto para Trabalho em Altura Tipo Paraquedista Mult 1884b Ca 19734</t>
  </si>
  <si>
    <t>MGCINTO</t>
  </si>
  <si>
    <t>Talabarte Tipo Y Corda Alma de Aço Com Absorvedor Mult 1892B</t>
  </si>
  <si>
    <t>Luva Tátil Volk Em Nylon Com Banho PU Preta CA 30916</t>
  </si>
  <si>
    <t>Volks</t>
  </si>
  <si>
    <t xml:space="preserve">Óculos Fumê de Proteção Ampla Visão </t>
  </si>
  <si>
    <t>Everest</t>
  </si>
  <si>
    <t>Capacete de Proteção tipo boné</t>
  </si>
  <si>
    <t>MAS</t>
  </si>
  <si>
    <t>Corda em Poliamida 12MM Para Altura 100 Metros NR18</t>
  </si>
  <si>
    <t>VALOR TOTAL DA AQUISIÇÃO DOS EQUIPAMENTOS E EPIs</t>
  </si>
  <si>
    <t>Observação: A tabela 5 foi criada exclusivamente para compor os custos relativos a equipamentos e EPIs utilizados pelo lavador de fachadas com balancim em edifício acima de 5 pavimentos..</t>
  </si>
  <si>
    <r>
      <t>VALOR  MENSAL DOS GASTOS COM MANUTENÇÃO DAS MAQUINAS, BENS E FERRAMENTAS – (</t>
    </r>
    <r>
      <rPr>
        <sz val="10"/>
        <color rgb="FFC9211E"/>
        <rFont val="Arial"/>
        <family val="2"/>
        <charset val="1"/>
      </rPr>
      <t>INCLUIR APENAS PARA OS ITENS APLICÁVEIS</t>
    </r>
    <r>
      <rPr>
        <sz val="10"/>
        <rFont val="Arial"/>
        <family val="2"/>
        <charset val="1"/>
      </rPr>
      <t>) APLICAR TAXA OU UTILIZAR OUTRA METODOLOGIA CONFORME LEGISLAÇÃO FISCAL E NORMAS CORRELATAS</t>
    </r>
  </si>
  <si>
    <r>
      <t xml:space="preserve">VALOR  MENSAL DOS GASTOS COM MANUTENÇÃO  –  ( </t>
    </r>
    <r>
      <rPr>
        <sz val="10"/>
        <color rgb="FFC9211E"/>
        <rFont val="Arial"/>
        <family val="2"/>
        <charset val="1"/>
      </rPr>
      <t>INCLUIR APENAS PARA OS ITENS APLICÁVEIS</t>
    </r>
    <r>
      <rPr>
        <sz val="10"/>
        <rFont val="Arial"/>
        <family val="2"/>
        <charset val="1"/>
      </rPr>
      <t xml:space="preserve"> )– APLICAR TAXA 0,5% CONFORME EDITAL OU UTILIZAR OUTRA METODOLOGIA CONFORME LEGISLAÇÃO FISCAL E NORMAS CORRELATAS</t>
    </r>
  </si>
  <si>
    <r>
      <t>VALOR TOTAL MENSAL DA DEPRECIAÇÃO (</t>
    </r>
    <r>
      <rPr>
        <sz val="10"/>
        <color rgb="FFC9211E"/>
        <rFont val="Arial"/>
        <family val="2"/>
        <charset val="1"/>
      </rPr>
      <t>INCLUIR APENAS PARA OS ITENS APLICÁVEIS</t>
    </r>
    <r>
      <rPr>
        <sz val="10"/>
        <rFont val="Arial"/>
        <family val="2"/>
        <charset val="1"/>
      </rPr>
      <t>)  EXCLUÍDO O VALOR RESIDUAL, CONSIDERANDO A VIDA ÚTIL DO BEM DE ACORDO COM AS REGRAS DA LEGISLAÇÃO FISCAL FEDERAL E NORMAS CORRELATAS</t>
    </r>
  </si>
  <si>
    <r>
      <t xml:space="preserve">VALOR  MENSAL DOS GASTOS COM MANUTENÇÃO  –  ( </t>
    </r>
    <r>
      <rPr>
        <sz val="10"/>
        <color rgb="FFC9211E"/>
        <rFont val="Arial"/>
        <family val="2"/>
        <charset val="1"/>
      </rPr>
      <t>INCLUIR APENAS PARA OS ITENS APLICÁVEIS</t>
    </r>
    <r>
      <rPr>
        <sz val="10"/>
        <color rgb="FF000000"/>
        <rFont val="Arial"/>
        <family val="2"/>
        <charset val="1"/>
      </rPr>
      <t xml:space="preserve"> )– APLICAR TAXA OU UTILIZAR OUTRA METODOLOGIA CONFORME LEGISLAÇÃO FISCAL E NORMAS CORRELATAS</t>
    </r>
  </si>
  <si>
    <t>UNIFORMES</t>
  </si>
  <si>
    <t>SERVENTE E LAVADOR DE FACHADA                (Valores por funcionário(a))</t>
  </si>
  <si>
    <t>MASCULINO</t>
  </si>
  <si>
    <t>FEMININO</t>
  </si>
  <si>
    <t>QUANTIDADE ANUAL</t>
  </si>
  <si>
    <t>VALOR UNITÁRIO</t>
  </si>
  <si>
    <t xml:space="preserve"> VALOR TOTAL</t>
  </si>
  <si>
    <t>Calça comprida com elástico e cordão em gabardine cor azul escuro.</t>
  </si>
  <si>
    <t>Camisa em gabardine cor azul escuro, com gola italiana, com emblema da empresa pintado no lado esquerdo.</t>
  </si>
  <si>
    <t>Meia em algodão, tipo soquete.</t>
  </si>
  <si>
    <t>Calçado: sapato ou bota de segurança em couro, solado emborrachado, com palmilha antibacteriana.</t>
  </si>
  <si>
    <t>01 (um) crachá com identificação do funcionário e da empresa.</t>
  </si>
  <si>
    <t>TOTAL ANUAL</t>
  </si>
  <si>
    <t>VALOR MENSAL POR FUNCIONÁRIO</t>
  </si>
  <si>
    <t>ENCARREGADO(A)</t>
  </si>
  <si>
    <t>Camisa manga curta, bolso lado esquerdo com insígnia da contratada;</t>
  </si>
  <si>
    <t>Calça comprida tipo social, em gabardine;</t>
  </si>
  <si>
    <t>Meia em algodão;</t>
  </si>
  <si>
    <t>Sapato de segurança, cor preta;</t>
  </si>
  <si>
    <t>Crachá de identificação.</t>
  </si>
  <si>
    <t xml:space="preserve">TOTAL ANUAL </t>
  </si>
  <si>
    <t xml:space="preserve">TOTAL MENSAL FUNCIONARIO </t>
  </si>
  <si>
    <t>PREÇO POR M²</t>
  </si>
  <si>
    <t xml:space="preserve">I - Preço Mensal dos Serviços por Unidade: </t>
  </si>
  <si>
    <t>LOCAL: Núcleo Estadual do Ministério da Saúde em Goiás, Rua 82, nº 179, Setor Sul, Goiânia - Goiás, CEP: 74.083-010</t>
  </si>
  <si>
    <t>MÃO DE OBRA</t>
  </si>
  <si>
    <t>(1) PRODUTIVIDADE (1 / M²)</t>
  </si>
  <si>
    <t>(2)                               PREÇO                HOMEM-MÊS (R$)</t>
  </si>
  <si>
    <t>(1 x 2)                              SUBTOTAL                         (R$ / M²)</t>
  </si>
  <si>
    <t>ENCARREGADO</t>
  </si>
  <si>
    <t>1 / (30X800)</t>
  </si>
  <si>
    <t>SERVENTE</t>
  </si>
  <si>
    <t>1 / 800</t>
  </si>
  <si>
    <t>1 / (30X1800)</t>
  </si>
  <si>
    <t>1 / 1800</t>
  </si>
  <si>
    <t>ESQUADRIA EXTERNA - FACE INTERNA/EXTERNA -</t>
  </si>
  <si>
    <t>Mão-de-obra</t>
  </si>
  <si>
    <t>(1) Produtividade                        (1 / M²)</t>
  </si>
  <si>
    <t>(2)                   Frequência no mês                      (horas)</t>
  </si>
  <si>
    <t>(3)               Jornada de Trabalho no mês               (horas)</t>
  </si>
  <si>
    <t>(4)                         = (1 x 2 x 3)                   Ki</t>
  </si>
  <si>
    <t>(5)                      Preço Homem-mês              (R$)</t>
  </si>
  <si>
    <t>(4 x 5) Subtotal     (R$ / M²)</t>
  </si>
  <si>
    <t>1 / (30 x 300)</t>
  </si>
  <si>
    <t>1 / 188,76</t>
  </si>
  <si>
    <t>1 / 300</t>
  </si>
  <si>
    <t>FACHADA ENVIDRAÇADA</t>
  </si>
  <si>
    <t>(2)                   Frequência no semestre                     (horas)</t>
  </si>
  <si>
    <t>(3)               Jornada de Trabalho no semestre               (horas)</t>
  </si>
  <si>
    <t>(4)                         = (1 x 2 x 3)                   Ke</t>
  </si>
  <si>
    <t>1 / (4 x 130)</t>
  </si>
  <si>
    <t>1 / 1.132,60</t>
  </si>
  <si>
    <t>Lavador de fachada em edifício acima 05 (cinco) pavimentos utilizando balancim</t>
  </si>
  <si>
    <t>1 / 130</t>
  </si>
  <si>
    <t>Tipo de mão-de-obra</t>
  </si>
  <si>
    <t>Quantidades estimadas de pessoal com base na produtividade por área</t>
  </si>
  <si>
    <t>Encarregado</t>
  </si>
  <si>
    <t>Serventes</t>
  </si>
  <si>
    <t>ÁREA INTERNA: (Fórmulas exemplificativas de cálculo para área interna, alíneas "a" e "b", do art. 44, para as demais alíneas deverão ser incluídos novos campos na planilha com a metragem adequada).</t>
  </si>
  <si>
    <t>ÁREA EXTERNA: - (Fórmulas exemplificativas de cálculo para área externa,  alíneas "a", "c", "d"  e "e", do art. 44,  para as demais alíneas deverão ser incluídos novos campos na planilha com a metragem adequada)</t>
  </si>
  <si>
    <t>25005.000777/2023-50</t>
  </si>
  <si>
    <t>PE/5/2023</t>
  </si>
  <si>
    <t>Demissão com Justa causa</t>
  </si>
  <si>
    <t>CCT GO000091/2022 E TA GO000018/2023</t>
  </si>
  <si>
    <t>Tipos de áreas envolvidas</t>
  </si>
  <si>
    <t>Internas</t>
  </si>
  <si>
    <t>Externas</t>
  </si>
  <si>
    <t>Esquadrias Externa - Face Interna</t>
  </si>
  <si>
    <t>Fachada Envidraçada - Face externa</t>
  </si>
  <si>
    <t>Metragem em M²</t>
  </si>
  <si>
    <t>Produtividade Considerada, conforme IN nº 05 SLTI/MPOG e Portaria SEGES nº 21.262/2020</t>
  </si>
  <si>
    <t>800 m²</t>
  </si>
  <si>
    <t>1800 m²</t>
  </si>
  <si>
    <t>300m²</t>
  </si>
  <si>
    <t>130m²</t>
  </si>
  <si>
    <t>Valor por m²</t>
  </si>
  <si>
    <t>Valor total em reais por tipo de área</t>
  </si>
  <si>
    <t>Valor Mensal</t>
  </si>
  <si>
    <t>VALOR ANUAL</t>
  </si>
  <si>
    <r>
      <t xml:space="preserve">SERVIÇO DE LIMPEZA E CONSERVAÇÃO - </t>
    </r>
    <r>
      <rPr>
        <b/>
        <sz val="10"/>
        <color rgb="FF000000"/>
        <rFont val="Arial"/>
        <family val="2"/>
      </rPr>
      <t>ENCARREGADO</t>
    </r>
  </si>
  <si>
    <t>LAVADOR DE FACHADA</t>
  </si>
  <si>
    <t>SERVIÇO DE LIMPEZA E CONSERVAÇÃO - LAVADOR DE FACHADA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</si>
</sst>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R$&quot;\ * #,##0.00_-;\-&quot;R$&quot;\ * #,##0.00_-;_-&quot;R$&quot;\ * &quot;-&quot;??_-;_-@_-"/>
    <numFmt numFmtId="43" formatCode="_-* #,##0.00_-;\-* #,##0.00_-;_-* &quot;-&quot;??_-;_-@_-"/>
    <numFmt numFmtId="164" formatCode="&quot;R$&quot;\ #,##0.00"/>
    <numFmt numFmtId="165" formatCode="0.000%"/>
    <numFmt numFmtId="166" formatCode="&quot;R$ &quot;#,##0.00"/>
    <numFmt numFmtId="167" formatCode="_-&quot;R$ &quot;* #,##0.00_-;&quot;-R$ &quot;* #,##0.00_-;_-&quot;R$ &quot;* \-??_-;_-@_-"/>
    <numFmt numFmtId="168" formatCode="_(&quot;R$ &quot;* #,##0.00_);_(&quot;R$ &quot;* \(#,##0.00\);_(&quot;R$ &quot;* &quot;-&quot;??_);_(@_)"/>
    <numFmt numFmtId="169" formatCode="_(&quot;R$ &quot;* #,##0.00_);_(&quot;R$ &quot;* \(#,##0.00\);_(&quot;R$ &quot;* \-??_);_(@_)"/>
    <numFmt numFmtId="170" formatCode="_-* #,##0.00_-;\-* #,##0.00_-;_-* \-??_-;_-@_-"/>
    <numFmt numFmtId="171" formatCode="_(&quot;R$&quot;* #,##0.00_);_(&quot;R$&quot;* \(#,##0.00\);_(&quot;R$&quot;* \-??_);_(@_)"/>
    <numFmt numFmtId="172" formatCode="0.0000000"/>
    <numFmt numFmtId="177" formatCode="_(* #,##0.00_);_(* \(#,##0.00\);_(* \-??_);_(@_)"/>
  </numFmts>
  <fonts count="35">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sz val="10"/>
      <color rgb="FF000000"/>
      <name val="Arial"/>
      <family val="2"/>
    </font>
    <font>
      <i/>
      <sz val="10"/>
      <color rgb="FFFF0000"/>
      <name val="Arial"/>
      <family val="2"/>
    </font>
    <font>
      <b/>
      <sz val="10"/>
      <color rgb="FF000000"/>
      <name val="Arial"/>
      <family val="2"/>
    </font>
    <font>
      <b/>
      <sz val="10"/>
      <color rgb="FF800080"/>
      <name val="Arial"/>
      <family val="2"/>
    </font>
    <font>
      <b/>
      <sz val="10"/>
      <color theme="1"/>
      <name val="Arial"/>
      <family val="2"/>
    </font>
    <font>
      <sz val="10"/>
      <name val="Arial"/>
      <family val="2"/>
      <charset val="1"/>
    </font>
    <font>
      <sz val="10"/>
      <color rgb="FFFF0000"/>
      <name val="Arial"/>
      <family val="2"/>
    </font>
    <font>
      <b/>
      <sz val="10"/>
      <color rgb="FFFF0000"/>
      <name val="Arial"/>
      <family val="2"/>
    </font>
    <font>
      <sz val="10"/>
      <color theme="1"/>
      <name val="Arial"/>
      <family val="2"/>
    </font>
    <font>
      <b/>
      <sz val="10"/>
      <color indexed="10"/>
      <name val="Arial"/>
      <family val="2"/>
      <charset val="1"/>
    </font>
    <font>
      <sz val="11"/>
      <color indexed="8"/>
      <name val="Calibri"/>
      <family val="2"/>
    </font>
    <font>
      <sz val="10"/>
      <color indexed="8"/>
      <name val="Calibri"/>
      <family val="2"/>
      <charset val="1"/>
    </font>
    <font>
      <b/>
      <sz val="10"/>
      <color rgb="FFFF0000"/>
      <name val="Calibri"/>
      <family val="2"/>
    </font>
    <font>
      <sz val="10"/>
      <name val="Calibri"/>
      <family val="2"/>
      <charset val="1"/>
    </font>
    <font>
      <b/>
      <sz val="10.5"/>
      <name val="Arial"/>
      <family val="2"/>
      <charset val="1"/>
    </font>
    <font>
      <sz val="10.5"/>
      <name val="Arial"/>
      <family val="2"/>
      <charset val="1"/>
    </font>
    <font>
      <sz val="10"/>
      <color rgb="FF000000"/>
      <name val="Arial"/>
      <family val="2"/>
      <charset val="1"/>
    </font>
    <font>
      <sz val="14"/>
      <name val="Arial"/>
      <family val="2"/>
      <charset val="1"/>
    </font>
    <font>
      <b/>
      <sz val="10.5"/>
      <color rgb="FF000000"/>
      <name val="Arial"/>
      <family val="2"/>
      <charset val="1"/>
    </font>
    <font>
      <u/>
      <sz val="11"/>
      <color theme="10"/>
      <name val="Calibri"/>
      <family val="2"/>
      <scheme val="minor"/>
    </font>
    <font>
      <sz val="11"/>
      <color rgb="FF000000"/>
      <name val="Calibri"/>
      <family val="2"/>
      <charset val="1"/>
    </font>
    <font>
      <sz val="9"/>
      <color rgb="FF000000"/>
      <name val="Segoe UI"/>
      <family val="2"/>
    </font>
    <font>
      <sz val="12"/>
      <name val="Arial"/>
      <family val="2"/>
      <charset val="1"/>
    </font>
    <font>
      <sz val="10"/>
      <color rgb="FFC9211E"/>
      <name val="Arial"/>
      <family val="2"/>
      <charset val="1"/>
    </font>
    <font>
      <sz val="10.5"/>
      <color rgb="FF000000"/>
      <name val="Arial"/>
      <family val="2"/>
      <charset val="1"/>
    </font>
    <font>
      <sz val="10.5"/>
      <color rgb="FF333333"/>
      <name val="Arial"/>
      <family val="2"/>
      <charset val="1"/>
    </font>
    <font>
      <sz val="10.5"/>
      <color rgb="FF0000FF"/>
      <name val="Arial"/>
      <family val="2"/>
      <charset val="1"/>
    </font>
    <font>
      <b/>
      <sz val="14"/>
      <color rgb="FF000000"/>
      <name val="Calibri"/>
      <family val="2"/>
      <charset val="1"/>
    </font>
    <font>
      <sz val="11"/>
      <name val="Calibri"/>
      <family val="2"/>
      <charset val="1"/>
    </font>
    <font>
      <b/>
      <sz val="11"/>
      <name val="Times New Roman"/>
      <family val="1"/>
    </font>
  </fonts>
  <fills count="16">
    <fill>
      <patternFill patternType="none"/>
    </fill>
    <fill>
      <patternFill patternType="gray125"/>
    </fill>
    <fill>
      <patternFill patternType="solid">
        <fgColor theme="0" tint="-4.9989318521683403E-2"/>
        <bgColor indexed="64"/>
      </patternFill>
    </fill>
    <fill>
      <patternFill patternType="solid">
        <fgColor theme="0" tint="-4.9989318521683403E-2"/>
        <bgColor rgb="FFFFFFCC"/>
      </patternFill>
    </fill>
    <fill>
      <patternFill patternType="solid">
        <fgColor rgb="FFFFFFFF"/>
        <bgColor indexed="64"/>
      </patternFill>
    </fill>
    <fill>
      <patternFill patternType="solid">
        <fgColor theme="5" tint="0.79998168889431442"/>
        <bgColor rgb="FFFFFFCC"/>
      </patternFill>
    </fill>
    <fill>
      <patternFill patternType="solid">
        <fgColor theme="9" tint="0.59999389629810485"/>
        <bgColor rgb="FFFFFFCC"/>
      </patternFill>
    </fill>
    <fill>
      <patternFill patternType="solid">
        <fgColor rgb="FFF8CBAD"/>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00B0F0"/>
        <bgColor indexed="64"/>
      </patternFill>
    </fill>
    <fill>
      <patternFill patternType="solid">
        <fgColor theme="5" tint="0.79998168889431442"/>
        <bgColor indexed="64"/>
      </patternFill>
    </fill>
    <fill>
      <patternFill patternType="solid">
        <fgColor rgb="FFFFFFFF"/>
        <bgColor rgb="FFFFFFCC"/>
      </patternFill>
    </fill>
    <fill>
      <patternFill patternType="solid">
        <fgColor rgb="FF92D050"/>
        <bgColor indexed="64"/>
      </patternFill>
    </fill>
    <fill>
      <patternFill patternType="solid">
        <fgColor rgb="FF92D050"/>
        <bgColor rgb="FFF4B183"/>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style="thin">
        <color auto="1"/>
      </top>
      <bottom style="thin">
        <color auto="1"/>
      </bottom>
      <diagonal/>
    </border>
  </borders>
  <cellStyleXfs count="16">
    <xf numFmtId="0" fontId="0" fillId="0" borderId="0"/>
    <xf numFmtId="44" fontId="1" fillId="0" borderId="0" applyFont="0" applyFill="0" applyBorder="0" applyAlignment="0" applyProtection="0"/>
    <xf numFmtId="9" fontId="10" fillId="0" borderId="0" applyBorder="0" applyProtection="0"/>
    <xf numFmtId="167" fontId="10" fillId="0" borderId="0" applyBorder="0" applyProtection="0"/>
    <xf numFmtId="0" fontId="1" fillId="0" borderId="0"/>
    <xf numFmtId="9" fontId="15" fillId="0" borderId="0" applyFont="0" applyFill="0" applyBorder="0" applyAlignment="0" applyProtection="0"/>
    <xf numFmtId="44" fontId="15" fillId="0" borderId="0" applyFont="0" applyFill="0" applyBorder="0" applyAlignment="0" applyProtection="0"/>
    <xf numFmtId="0" fontId="4" fillId="0" borderId="0"/>
    <xf numFmtId="168" fontId="4" fillId="0" borderId="0" applyFill="0" applyBorder="0" applyAlignment="0" applyProtection="0"/>
    <xf numFmtId="44" fontId="1" fillId="0" borderId="0" applyFont="0" applyFill="0" applyBorder="0" applyAlignment="0" applyProtection="0"/>
    <xf numFmtId="0" fontId="24" fillId="0" borderId="0" applyNumberFormat="0" applyFill="0" applyBorder="0" applyAlignment="0" applyProtection="0"/>
    <xf numFmtId="0" fontId="4" fillId="0" borderId="0"/>
    <xf numFmtId="169" fontId="33" fillId="0" borderId="0" applyBorder="0" applyProtection="0"/>
    <xf numFmtId="171" fontId="33" fillId="0" borderId="0" applyBorder="0" applyProtection="0"/>
    <xf numFmtId="177" fontId="10" fillId="0" borderId="0" applyBorder="0" applyProtection="0"/>
    <xf numFmtId="170" fontId="25" fillId="0" borderId="0" applyBorder="0" applyProtection="0"/>
  </cellStyleXfs>
  <cellXfs count="355">
    <xf numFmtId="0" fontId="0" fillId="0" borderId="0" xfId="0"/>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3" borderId="4"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2" fontId="3" fillId="3" borderId="4"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left" vertical="center" wrapText="1"/>
    </xf>
    <xf numFmtId="10" fontId="4" fillId="0" borderId="5" xfId="0" applyNumberFormat="1" applyFont="1" applyBorder="1" applyAlignment="1">
      <alignment horizontal="center" vertical="center" wrapText="1"/>
    </xf>
    <xf numFmtId="164" fontId="4" fillId="4" borderId="5" xfId="0" applyNumberFormat="1" applyFont="1" applyFill="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left" vertical="center"/>
    </xf>
    <xf numFmtId="10" fontId="4" fillId="0" borderId="5" xfId="0" applyNumberFormat="1" applyFont="1" applyBorder="1" applyAlignment="1">
      <alignment horizontal="center" vertical="center"/>
    </xf>
    <xf numFmtId="0" fontId="5" fillId="0" borderId="5" xfId="0" applyFont="1" applyBorder="1" applyAlignment="1">
      <alignment horizontal="left" vertical="center" wrapText="1"/>
    </xf>
    <xf numFmtId="10" fontId="4" fillId="4" borderId="5" xfId="0" applyNumberFormat="1" applyFont="1" applyFill="1" applyBorder="1" applyAlignment="1">
      <alignment horizontal="center" vertical="center" wrapText="1"/>
    </xf>
    <xf numFmtId="0" fontId="3"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3" xfId="0" applyFont="1" applyFill="1" applyBorder="1" applyAlignment="1">
      <alignment horizontal="center" vertical="center"/>
    </xf>
    <xf numFmtId="164" fontId="3" fillId="5" borderId="5" xfId="0" applyNumberFormat="1" applyFont="1" applyFill="1" applyBorder="1" applyAlignment="1">
      <alignment horizontal="center" vertical="center"/>
    </xf>
    <xf numFmtId="0" fontId="7" fillId="6" borderId="5"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5" xfId="0" applyFont="1" applyFill="1" applyBorder="1" applyAlignment="1">
      <alignment horizontal="center" vertical="center"/>
    </xf>
    <xf numFmtId="164" fontId="3" fillId="6" borderId="3" xfId="0" applyNumberFormat="1" applyFont="1" applyFill="1" applyBorder="1" applyAlignment="1">
      <alignment horizontal="center" vertical="center"/>
    </xf>
    <xf numFmtId="0" fontId="7" fillId="7" borderId="5" xfId="0" applyFont="1" applyFill="1" applyBorder="1" applyAlignment="1">
      <alignment horizontal="center" vertical="center" wrapText="1"/>
    </xf>
    <xf numFmtId="0" fontId="3" fillId="8" borderId="5" xfId="0" applyFont="1" applyFill="1" applyBorder="1" applyAlignment="1">
      <alignment horizontal="center" vertical="center"/>
    </xf>
    <xf numFmtId="164" fontId="3" fillId="8" borderId="3"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4" borderId="1" xfId="0"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3" borderId="5" xfId="0" applyFont="1" applyFill="1" applyBorder="1" applyAlignment="1">
      <alignment horizontal="center"/>
    </xf>
    <xf numFmtId="0" fontId="3" fillId="3" borderId="5" xfId="0" applyFont="1" applyFill="1" applyBorder="1" applyAlignment="1">
      <alignment horizontal="center" vertical="center"/>
    </xf>
    <xf numFmtId="2" fontId="3" fillId="3" borderId="5" xfId="0" applyNumberFormat="1" applyFont="1" applyFill="1" applyBorder="1" applyAlignment="1">
      <alignment horizontal="center"/>
    </xf>
    <xf numFmtId="0" fontId="4" fillId="4" borderId="5" xfId="0" applyFont="1" applyFill="1" applyBorder="1" applyAlignment="1">
      <alignment horizontal="left" vertical="center" wrapText="1"/>
    </xf>
    <xf numFmtId="165" fontId="4" fillId="0" borderId="5" xfId="0" applyNumberFormat="1" applyFont="1" applyBorder="1" applyAlignment="1">
      <alignment horizontal="center" vertical="center" wrapText="1"/>
    </xf>
    <xf numFmtId="164" fontId="4" fillId="0" borderId="5" xfId="0" applyNumberFormat="1" applyFont="1" applyBorder="1" applyAlignment="1">
      <alignment horizontal="center" vertical="center"/>
    </xf>
    <xf numFmtId="165" fontId="4" fillId="0" borderId="5" xfId="0" applyNumberFormat="1" applyFont="1" applyBorder="1" applyAlignment="1">
      <alignment horizontal="center" vertical="center"/>
    </xf>
    <xf numFmtId="0" fontId="4" fillId="0" borderId="5" xfId="0" applyFont="1" applyBorder="1" applyAlignment="1">
      <alignment horizontal="center"/>
    </xf>
    <xf numFmtId="164" fontId="4" fillId="5" borderId="5" xfId="0" applyNumberFormat="1" applyFont="1" applyFill="1" applyBorder="1" applyAlignment="1">
      <alignment horizontal="center" vertical="center"/>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4" fontId="4" fillId="0" borderId="5" xfId="0" applyNumberFormat="1" applyFont="1" applyBorder="1" applyAlignment="1">
      <alignment vertical="center" wrapText="1"/>
    </xf>
    <xf numFmtId="4" fontId="4" fillId="0" borderId="5" xfId="0" applyNumberFormat="1" applyFont="1" applyBorder="1" applyAlignment="1">
      <alignment horizontal="center" vertical="center"/>
    </xf>
    <xf numFmtId="2" fontId="3" fillId="5" borderId="5" xfId="0" applyNumberFormat="1" applyFont="1" applyFill="1" applyBorder="1" applyAlignment="1">
      <alignment horizontal="center" vertical="center"/>
    </xf>
    <xf numFmtId="0" fontId="3" fillId="3" borderId="5" xfId="0" applyFont="1" applyFill="1" applyBorder="1" applyAlignment="1">
      <alignment horizontal="center" vertical="center"/>
    </xf>
    <xf numFmtId="2" fontId="3" fillId="3" borderId="5" xfId="0" applyNumberFormat="1" applyFont="1" applyFill="1" applyBorder="1" applyAlignment="1">
      <alignment horizontal="center" vertical="center"/>
    </xf>
    <xf numFmtId="10" fontId="4" fillId="0" borderId="5" xfId="0" applyNumberFormat="1" applyFont="1" applyBorder="1" applyAlignment="1">
      <alignment vertical="center" wrapText="1"/>
    </xf>
    <xf numFmtId="0" fontId="4" fillId="9" borderId="5" xfId="0" applyFont="1" applyFill="1" applyBorder="1" applyAlignment="1">
      <alignment horizontal="center" vertical="center" wrapText="1"/>
    </xf>
    <xf numFmtId="0" fontId="4" fillId="9" borderId="5" xfId="0" applyFont="1" applyFill="1" applyBorder="1" applyAlignment="1">
      <alignment horizontal="center" vertical="center"/>
    </xf>
    <xf numFmtId="0" fontId="4" fillId="0" borderId="0" xfId="0" applyFont="1"/>
    <xf numFmtId="0" fontId="4" fillId="0" borderId="2" xfId="0" applyFont="1" applyBorder="1" applyAlignment="1">
      <alignment horizontal="left" vertical="center" wrapText="1"/>
    </xf>
    <xf numFmtId="0" fontId="8" fillId="0" borderId="2"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49" fontId="9" fillId="10" borderId="1" xfId="0" applyNumberFormat="1" applyFont="1" applyFill="1" applyBorder="1" applyAlignment="1">
      <alignment horizontal="center" vertical="center" wrapText="1"/>
    </xf>
    <xf numFmtId="49" fontId="9" fillId="10" borderId="3" xfId="0"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166" fontId="5" fillId="0" borderId="1" xfId="0" applyNumberFormat="1" applyFont="1" applyBorder="1" applyAlignment="1">
      <alignment horizontal="center" vertical="center" wrapText="1"/>
    </xf>
    <xf numFmtId="166" fontId="4" fillId="0" borderId="3" xfId="0" applyNumberFormat="1" applyFont="1" applyBorder="1" applyAlignment="1">
      <alignment horizontal="center" vertical="center" wrapText="1"/>
    </xf>
    <xf numFmtId="166" fontId="4" fillId="4" borderId="1" xfId="0" applyNumberFormat="1" applyFont="1" applyFill="1" applyBorder="1" applyAlignment="1">
      <alignment horizontal="center" vertical="center"/>
    </xf>
    <xf numFmtId="166" fontId="4" fillId="4" borderId="3"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49" fontId="4" fillId="4" borderId="3" xfId="0"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4" borderId="1" xfId="0" applyFont="1" applyFill="1" applyBorder="1" applyAlignment="1">
      <alignment horizontal="justify" vertical="center" wrapText="1"/>
    </xf>
    <xf numFmtId="0" fontId="4" fillId="4" borderId="2" xfId="0" applyFont="1" applyFill="1" applyBorder="1" applyAlignment="1">
      <alignment horizontal="justify" vertical="center" wrapText="1"/>
    </xf>
    <xf numFmtId="0" fontId="4" fillId="4" borderId="3" xfId="0" applyFont="1" applyFill="1" applyBorder="1" applyAlignment="1">
      <alignment horizontal="justify" vertical="center" wrapText="1"/>
    </xf>
    <xf numFmtId="10" fontId="4" fillId="4" borderId="5" xfId="0" applyNumberFormat="1" applyFont="1" applyFill="1" applyBorder="1" applyAlignment="1">
      <alignment horizontal="center" vertical="center"/>
    </xf>
    <xf numFmtId="164" fontId="4" fillId="0" borderId="0" xfId="0" applyNumberFormat="1" applyFont="1"/>
    <xf numFmtId="0" fontId="0" fillId="0" borderId="1" xfId="0" applyBorder="1" applyAlignment="1" applyProtection="1">
      <alignment horizontal="justify" vertical="center" wrapText="1"/>
      <protection locked="0"/>
    </xf>
    <xf numFmtId="0" fontId="4" fillId="0" borderId="2" xfId="0" applyFont="1" applyBorder="1" applyAlignment="1" applyProtection="1">
      <alignment horizontal="justify" vertical="center" wrapText="1"/>
      <protection locked="0"/>
    </xf>
    <xf numFmtId="0" fontId="4" fillId="0" borderId="3" xfId="0" applyFont="1" applyBorder="1" applyAlignment="1" applyProtection="1">
      <alignment horizontal="justify" vertical="center" wrapText="1"/>
      <protection locked="0"/>
    </xf>
    <xf numFmtId="0" fontId="4" fillId="0" borderId="5" xfId="0" applyFont="1" applyBorder="1"/>
    <xf numFmtId="2" fontId="4" fillId="4" borderId="5" xfId="0" applyNumberFormat="1" applyFont="1" applyFill="1" applyBorder="1"/>
    <xf numFmtId="0" fontId="0" fillId="0" borderId="1" xfId="0" applyBorder="1" applyAlignment="1" applyProtection="1">
      <alignment horizontal="left" vertical="center" wrapText="1"/>
      <protection locked="0"/>
    </xf>
    <xf numFmtId="0" fontId="0" fillId="0" borderId="2"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4" fillId="0" borderId="5" xfId="0" applyFont="1" applyBorder="1" applyAlignment="1">
      <alignment vertical="center" wrapText="1"/>
    </xf>
    <xf numFmtId="0" fontId="4" fillId="0" borderId="0" xfId="0" applyFont="1" applyAlignment="1">
      <alignment horizontal="center"/>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164" fontId="3" fillId="5" borderId="4" xfId="0" applyNumberFormat="1" applyFont="1" applyFill="1" applyBorder="1" applyAlignment="1">
      <alignment horizontal="center" vertical="center" wrapText="1"/>
    </xf>
    <xf numFmtId="0" fontId="5"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3" borderId="5" xfId="0" applyFont="1" applyFill="1" applyBorder="1" applyAlignment="1">
      <alignment horizontal="center" vertical="center" wrapText="1"/>
    </xf>
    <xf numFmtId="0" fontId="0" fillId="0" borderId="1" xfId="0" applyBorder="1" applyAlignment="1">
      <alignment horizontal="left" vertical="center" wrapText="1"/>
    </xf>
    <xf numFmtId="10" fontId="4" fillId="0" borderId="5" xfId="2" applyNumberFormat="1" applyFont="1" applyBorder="1" applyAlignment="1" applyProtection="1">
      <alignment horizontal="center" vertical="center" wrapText="1"/>
    </xf>
    <xf numFmtId="165" fontId="4" fillId="0" borderId="5" xfId="2" applyNumberFormat="1" applyFont="1" applyBorder="1" applyAlignment="1" applyProtection="1">
      <alignment horizontal="center" vertical="center"/>
    </xf>
    <xf numFmtId="10" fontId="3" fillId="5" borderId="5" xfId="0" applyNumberFormat="1" applyFont="1" applyFill="1" applyBorder="1" applyAlignment="1">
      <alignment horizontal="center" vertical="center"/>
    </xf>
    <xf numFmtId="0" fontId="5" fillId="4" borderId="1" xfId="0" applyFont="1" applyFill="1" applyBorder="1" applyAlignment="1">
      <alignment horizontal="left" vertical="center" wrapText="1"/>
    </xf>
    <xf numFmtId="0" fontId="3" fillId="4" borderId="2" xfId="0" applyFont="1" applyFill="1" applyBorder="1" applyAlignment="1">
      <alignment horizontal="left" vertical="center"/>
    </xf>
    <xf numFmtId="0" fontId="3" fillId="4" borderId="3" xfId="0" applyFont="1" applyFill="1" applyBorder="1" applyAlignment="1">
      <alignment horizontal="left" vertical="center"/>
    </xf>
    <xf numFmtId="10" fontId="3" fillId="6" borderId="5" xfId="0" applyNumberFormat="1" applyFont="1" applyFill="1" applyBorder="1" applyAlignment="1">
      <alignment horizontal="center" vertical="center"/>
    </xf>
    <xf numFmtId="164" fontId="3" fillId="6" borderId="5" xfId="0" applyNumberFormat="1"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1" xfId="0" applyFont="1" applyFill="1" applyBorder="1" applyAlignment="1">
      <alignment horizontal="center" vertical="center"/>
    </xf>
    <xf numFmtId="2" fontId="3" fillId="3" borderId="5"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5" xfId="0" applyFont="1" applyBorder="1" applyAlignment="1">
      <alignment horizontal="left" vertical="center" wrapText="1"/>
    </xf>
    <xf numFmtId="0" fontId="4" fillId="11" borderId="16" xfId="0" applyFont="1" applyFill="1" applyBorder="1" applyAlignment="1">
      <alignment vertical="center" wrapText="1"/>
    </xf>
    <xf numFmtId="0" fontId="4" fillId="4" borderId="16" xfId="0" applyFont="1" applyFill="1" applyBorder="1" applyAlignment="1">
      <alignmen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9" fontId="4" fillId="0" borderId="0" xfId="0" applyNumberFormat="1" applyFont="1"/>
    <xf numFmtId="0" fontId="4" fillId="0" borderId="10" xfId="0" applyFont="1" applyBorder="1" applyAlignment="1">
      <alignment horizontal="center" vertical="center"/>
    </xf>
    <xf numFmtId="164" fontId="4" fillId="4" borderId="4" xfId="0" applyNumberFormat="1" applyFont="1" applyFill="1" applyBorder="1" applyAlignment="1">
      <alignment horizontal="center" vertical="center"/>
    </xf>
    <xf numFmtId="0" fontId="3" fillId="5" borderId="1" xfId="0" applyFont="1" applyFill="1" applyBorder="1" applyAlignment="1">
      <alignment horizontal="right" vertical="center"/>
    </xf>
    <xf numFmtId="0" fontId="3" fillId="5" borderId="2" xfId="0" applyFont="1" applyFill="1" applyBorder="1" applyAlignment="1">
      <alignment horizontal="right" vertical="center"/>
    </xf>
    <xf numFmtId="0" fontId="3" fillId="5" borderId="3" xfId="0" applyFont="1" applyFill="1" applyBorder="1" applyAlignment="1">
      <alignment horizontal="right" vertical="center"/>
    </xf>
    <xf numFmtId="0" fontId="3" fillId="3" borderId="5" xfId="0" applyFont="1" applyFill="1" applyBorder="1" applyAlignment="1">
      <alignment horizontal="center" vertical="center" wrapText="1"/>
    </xf>
    <xf numFmtId="0" fontId="3" fillId="3" borderId="17" xfId="0" applyFont="1" applyFill="1" applyBorder="1" applyAlignment="1">
      <alignment horizontal="center" vertical="center"/>
    </xf>
    <xf numFmtId="0" fontId="3" fillId="3" borderId="12"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4" xfId="0" applyFont="1" applyFill="1" applyBorder="1" applyAlignment="1">
      <alignment horizontal="left" vertical="center" wrapText="1"/>
    </xf>
    <xf numFmtId="2" fontId="3" fillId="3" borderId="17" xfId="0" applyNumberFormat="1" applyFont="1" applyFill="1" applyBorder="1" applyAlignment="1">
      <alignment horizontal="center"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164" fontId="4" fillId="0" borderId="5" xfId="0" applyNumberFormat="1" applyFont="1" applyBorder="1" applyAlignment="1">
      <alignment horizontal="center" vertical="center" wrapText="1"/>
    </xf>
    <xf numFmtId="0" fontId="12" fillId="0" borderId="0" xfId="0" applyFont="1"/>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166" fontId="9" fillId="10" borderId="5" xfId="0" quotePrefix="1" applyNumberFormat="1" applyFont="1" applyFill="1" applyBorder="1" applyAlignment="1">
      <alignment horizontal="center" vertical="center"/>
    </xf>
    <xf numFmtId="0" fontId="4" fillId="0" borderId="4" xfId="0" applyFont="1" applyBorder="1" applyAlignment="1">
      <alignment horizontal="center" vertical="center"/>
    </xf>
    <xf numFmtId="3" fontId="13" fillId="4" borderId="4" xfId="0" applyNumberFormat="1" applyFont="1" applyFill="1" applyBorder="1" applyAlignment="1">
      <alignment horizontal="center" vertical="center"/>
    </xf>
    <xf numFmtId="164" fontId="4" fillId="0" borderId="4" xfId="0" applyNumberFormat="1" applyFont="1" applyBorder="1" applyAlignment="1">
      <alignment horizontal="center" vertical="center"/>
    </xf>
    <xf numFmtId="9" fontId="13" fillId="4" borderId="5" xfId="2" applyFont="1" applyFill="1" applyBorder="1" applyAlignment="1" applyProtection="1">
      <alignment horizontal="center" vertical="center"/>
    </xf>
    <xf numFmtId="0" fontId="0" fillId="0" borderId="5" xfId="0" applyBorder="1" applyAlignment="1">
      <alignment horizontal="left" vertical="center" wrapText="1"/>
    </xf>
    <xf numFmtId="0" fontId="11" fillId="0" borderId="0" xfId="0" applyFont="1"/>
    <xf numFmtId="0" fontId="4" fillId="5" borderId="5" xfId="0" applyFont="1" applyFill="1" applyBorder="1" applyAlignment="1">
      <alignment horizontal="center" vertical="center"/>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xf>
    <xf numFmtId="0" fontId="4" fillId="4" borderId="3" xfId="0" applyFont="1" applyFill="1" applyBorder="1" applyAlignment="1">
      <alignment horizontal="left" vertical="center"/>
    </xf>
    <xf numFmtId="0" fontId="4" fillId="3" borderId="5" xfId="0" applyFont="1" applyFill="1" applyBorder="1" applyAlignment="1">
      <alignment horizontal="center" vertical="center"/>
    </xf>
    <xf numFmtId="0" fontId="4"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2" fontId="4" fillId="3" borderId="5" xfId="0" applyNumberFormat="1" applyFont="1" applyFill="1" applyBorder="1" applyAlignment="1">
      <alignment horizontal="center" vertical="center"/>
    </xf>
    <xf numFmtId="10" fontId="4" fillId="0" borderId="0" xfId="0" applyNumberFormat="1" applyFont="1"/>
    <xf numFmtId="0" fontId="4" fillId="4" borderId="0" xfId="0" applyFont="1" applyFill="1"/>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164" fontId="4" fillId="10" borderId="5" xfId="0" applyNumberFormat="1" applyFont="1" applyFill="1" applyBorder="1" applyAlignment="1">
      <alignment horizontal="center" vertical="center"/>
    </xf>
    <xf numFmtId="164" fontId="4" fillId="10" borderId="5" xfId="0" applyNumberFormat="1" applyFont="1" applyFill="1" applyBorder="1" applyAlignment="1">
      <alignment horizontal="center" vertical="center" wrapText="1"/>
    </xf>
    <xf numFmtId="0" fontId="4" fillId="4" borderId="1" xfId="0" applyFont="1" applyFill="1" applyBorder="1" applyAlignment="1">
      <alignment horizontal="left" vertical="center"/>
    </xf>
    <xf numFmtId="164" fontId="3" fillId="5" borderId="5" xfId="0" applyNumberFormat="1"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3" fillId="6" borderId="9" xfId="0" applyFont="1" applyFill="1" applyBorder="1" applyAlignment="1">
      <alignment horizontal="center" vertical="center" wrapText="1"/>
    </xf>
    <xf numFmtId="164" fontId="3" fillId="6" borderId="3" xfId="0" applyNumberFormat="1"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0" xfId="0" applyFont="1" applyFill="1" applyAlignment="1">
      <alignment horizontal="center" vertical="center" wrapText="1"/>
    </xf>
    <xf numFmtId="0" fontId="3" fillId="6" borderId="11" xfId="0" applyFont="1" applyFill="1" applyBorder="1" applyAlignment="1">
      <alignment horizontal="center" vertical="center" wrapText="1"/>
    </xf>
    <xf numFmtId="164" fontId="3" fillId="6" borderId="9" xfId="0" applyNumberFormat="1" applyFont="1" applyFill="1" applyBorder="1" applyAlignment="1">
      <alignment horizontal="center" vertical="center" wrapText="1"/>
    </xf>
    <xf numFmtId="0" fontId="3" fillId="6" borderId="1" xfId="0" applyFont="1" applyFill="1" applyBorder="1" applyAlignment="1">
      <alignment horizontal="center" vertical="center"/>
    </xf>
    <xf numFmtId="164" fontId="3" fillId="8" borderId="16" xfId="0" applyNumberFormat="1" applyFont="1" applyFill="1" applyBorder="1" applyAlignment="1">
      <alignment horizontal="center" vertical="center"/>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3" fillId="6" borderId="14" xfId="0" applyFont="1" applyFill="1" applyBorder="1" applyAlignment="1">
      <alignment horizontal="center" vertical="center" wrapTex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0" fillId="0" borderId="1" xfId="0" applyBorder="1" applyAlignment="1">
      <alignment horizontal="left" vertical="center"/>
    </xf>
    <xf numFmtId="10" fontId="3" fillId="0" borderId="5" xfId="0" applyNumberFormat="1" applyFont="1" applyBorder="1" applyAlignment="1">
      <alignment horizontal="center" vertical="center"/>
    </xf>
    <xf numFmtId="164" fontId="3" fillId="4" borderId="5" xfId="0" applyNumberFormat="1" applyFont="1" applyFill="1" applyBorder="1" applyAlignment="1">
      <alignment horizontal="center" vertical="center"/>
    </xf>
    <xf numFmtId="0" fontId="3" fillId="0" borderId="5" xfId="0" applyFont="1" applyBorder="1" applyAlignment="1">
      <alignment horizontal="center" vertical="center"/>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4" fillId="4" borderId="2" xfId="0" applyFont="1" applyFill="1" applyBorder="1" applyAlignment="1">
      <alignment horizontal="center" vertical="center" wrapText="1"/>
    </xf>
    <xf numFmtId="10" fontId="4" fillId="4" borderId="9" xfId="0" applyNumberFormat="1" applyFont="1" applyFill="1" applyBorder="1" applyAlignment="1">
      <alignment horizontal="center" vertical="center" wrapText="1"/>
    </xf>
    <xf numFmtId="10" fontId="3" fillId="5" borderId="16" xfId="0" applyNumberFormat="1" applyFont="1" applyFill="1" applyBorder="1" applyAlignment="1">
      <alignment horizontal="center" vertical="center"/>
    </xf>
    <xf numFmtId="164" fontId="3" fillId="5" borderId="3" xfId="0" applyNumberFormat="1" applyFont="1" applyFill="1" applyBorder="1" applyAlignment="1">
      <alignment horizontal="center" vertical="center"/>
    </xf>
    <xf numFmtId="0" fontId="3" fillId="0" borderId="13" xfId="0" applyFont="1" applyBorder="1" applyAlignment="1">
      <alignment horizontal="left" vertical="center" wrapText="1"/>
    </xf>
    <xf numFmtId="0" fontId="11" fillId="0" borderId="1" xfId="0" applyFont="1" applyBorder="1" applyAlignment="1">
      <alignment vertical="center"/>
    </xf>
    <xf numFmtId="0" fontId="11" fillId="0" borderId="2" xfId="0" applyFont="1" applyBorder="1" applyAlignment="1">
      <alignment vertical="center"/>
    </xf>
    <xf numFmtId="49" fontId="3" fillId="2" borderId="1"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4" fillId="0" borderId="5" xfId="0" applyNumberFormat="1" applyFont="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3" fillId="5" borderId="3" xfId="0" applyNumberFormat="1" applyFont="1" applyFill="1" applyBorder="1" applyAlignment="1">
      <alignment horizontal="center" vertical="center" wrapText="1"/>
    </xf>
    <xf numFmtId="164" fontId="4" fillId="12" borderId="5" xfId="3" applyNumberFormat="1" applyFont="1" applyFill="1" applyBorder="1" applyAlignment="1">
      <alignment horizontal="center"/>
    </xf>
    <xf numFmtId="164" fontId="4" fillId="0" borderId="3" xfId="0" applyNumberFormat="1" applyFont="1" applyBorder="1" applyAlignment="1">
      <alignment horizontal="center" vertical="center" wrapText="1"/>
    </xf>
    <xf numFmtId="164" fontId="3" fillId="12" borderId="5" xfId="3" applyNumberFormat="1" applyFont="1" applyFill="1" applyBorder="1" applyAlignment="1">
      <alignment horizontal="center"/>
    </xf>
    <xf numFmtId="49" fontId="3" fillId="0" borderId="0" xfId="0" applyNumberFormat="1" applyFont="1" applyAlignment="1">
      <alignment horizontal="right" vertical="center" wrapText="1"/>
    </xf>
    <xf numFmtId="167" fontId="4" fillId="0" borderId="0" xfId="3" applyFont="1" applyBorder="1"/>
    <xf numFmtId="0" fontId="13" fillId="0" borderId="1" xfId="0" applyFont="1" applyBorder="1" applyAlignment="1">
      <alignment horizontal="left" vertical="center" wrapText="1"/>
    </xf>
    <xf numFmtId="10" fontId="16" fillId="0" borderId="5" xfId="7" applyNumberFormat="1" applyFont="1" applyBorder="1" applyAlignment="1">
      <alignment horizontal="center" vertical="center" wrapText="1"/>
    </xf>
    <xf numFmtId="10" fontId="17" fillId="10" borderId="5" xfId="7" applyNumberFormat="1" applyFont="1" applyFill="1" applyBorder="1" applyAlignment="1">
      <alignment horizontal="center" vertical="center" wrapText="1"/>
    </xf>
    <xf numFmtId="0" fontId="3" fillId="10" borderId="7" xfId="0" applyFont="1" applyFill="1" applyBorder="1" applyAlignment="1">
      <alignment horizontal="center" vertical="center"/>
    </xf>
    <xf numFmtId="0" fontId="3" fillId="10" borderId="8" xfId="0" applyFont="1" applyFill="1" applyBorder="1" applyAlignment="1">
      <alignment horizontal="center" vertical="center"/>
    </xf>
    <xf numFmtId="0" fontId="3" fillId="10" borderId="9" xfId="0" applyFont="1" applyFill="1" applyBorder="1" applyAlignment="1">
      <alignment horizontal="center" vertical="center"/>
    </xf>
    <xf numFmtId="0" fontId="3" fillId="10" borderId="10" xfId="0" applyFont="1" applyFill="1" applyBorder="1" applyAlignment="1">
      <alignment horizontal="center" vertical="center"/>
    </xf>
    <xf numFmtId="0" fontId="3" fillId="10" borderId="0" xfId="0" applyFont="1" applyFill="1" applyAlignment="1">
      <alignment horizontal="center" vertical="center"/>
    </xf>
    <xf numFmtId="0" fontId="3" fillId="10" borderId="11" xfId="0" applyFont="1" applyFill="1" applyBorder="1" applyAlignment="1">
      <alignment horizontal="center" vertical="center"/>
    </xf>
    <xf numFmtId="0" fontId="3" fillId="10" borderId="12"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14" xfId="0" applyFont="1" applyFill="1" applyBorder="1" applyAlignment="1">
      <alignment horizontal="center" vertical="center"/>
    </xf>
    <xf numFmtId="168" fontId="4" fillId="0" borderId="0" xfId="8" applyAlignment="1">
      <alignment horizontal="justify" vertical="center" wrapText="1"/>
    </xf>
    <xf numFmtId="44" fontId="4" fillId="0" borderId="0" xfId="1" applyFont="1" applyAlignment="1">
      <alignment horizontal="right" vertical="center" wrapText="1"/>
    </xf>
    <xf numFmtId="43" fontId="18" fillId="0" borderId="0" xfId="7" applyNumberFormat="1" applyFont="1" applyAlignment="1">
      <alignment horizontal="justify" vertical="center" wrapText="1"/>
    </xf>
    <xf numFmtId="0" fontId="0" fillId="0" borderId="2" xfId="0" applyBorder="1" applyAlignment="1">
      <alignment horizontal="left" vertical="center" wrapText="1"/>
    </xf>
    <xf numFmtId="0" fontId="20" fillId="0" borderId="5" xfId="0" applyFont="1" applyBorder="1" applyAlignment="1">
      <alignment horizontal="center" vertical="center" wrapText="1"/>
    </xf>
    <xf numFmtId="0" fontId="10" fillId="0" borderId="5" xfId="0" applyFont="1" applyBorder="1" applyAlignment="1">
      <alignment horizontal="center" vertical="center" wrapText="1"/>
    </xf>
    <xf numFmtId="0" fontId="21" fillId="0" borderId="0" xfId="0" applyFont="1" applyAlignment="1">
      <alignment horizontal="left" vertical="top" wrapText="1"/>
    </xf>
    <xf numFmtId="0" fontId="2" fillId="0" borderId="0" xfId="0" applyFont="1"/>
    <xf numFmtId="0" fontId="22" fillId="13" borderId="18" xfId="0" applyFont="1" applyFill="1" applyBorder="1" applyAlignment="1">
      <alignment horizontal="center"/>
    </xf>
    <xf numFmtId="0" fontId="0" fillId="0" borderId="0" xfId="0" applyFont="1"/>
    <xf numFmtId="0" fontId="20" fillId="0" borderId="4" xfId="0" applyFont="1" applyBorder="1" applyAlignment="1">
      <alignment horizontal="center" vertical="center" wrapText="1"/>
    </xf>
    <xf numFmtId="0" fontId="20" fillId="0" borderId="4" xfId="0" applyFont="1" applyBorder="1" applyAlignment="1">
      <alignment horizontal="center" vertical="center"/>
    </xf>
    <xf numFmtId="0" fontId="20" fillId="0" borderId="5" xfId="0" applyFont="1" applyBorder="1" applyAlignment="1">
      <alignment vertical="center" wrapText="1"/>
    </xf>
    <xf numFmtId="0" fontId="20" fillId="0" borderId="5" xfId="0" applyFont="1" applyBorder="1" applyAlignment="1">
      <alignment horizontal="center" vertical="center"/>
    </xf>
    <xf numFmtId="44" fontId="10" fillId="0" borderId="5" xfId="9" applyFont="1" applyBorder="1" applyAlignment="1" applyProtection="1">
      <alignment horizontal="right" vertical="center" wrapText="1"/>
    </xf>
    <xf numFmtId="44" fontId="10" fillId="0" borderId="5" xfId="9" applyFont="1" applyBorder="1" applyAlignment="1" applyProtection="1">
      <alignment horizontal="right" vertical="center"/>
    </xf>
    <xf numFmtId="44" fontId="1" fillId="0" borderId="5" xfId="9" applyFont="1" applyBorder="1" applyAlignment="1" applyProtection="1">
      <alignment horizontal="right" vertical="center" wrapText="1"/>
    </xf>
    <xf numFmtId="0" fontId="20" fillId="0" borderId="2" xfId="0" applyFont="1" applyBorder="1" applyAlignment="1">
      <alignment vertical="center" wrapText="1"/>
    </xf>
    <xf numFmtId="0" fontId="20" fillId="0" borderId="5" xfId="0" applyFont="1" applyBorder="1" applyAlignment="1">
      <alignment horizontal="center" vertical="center" wrapText="1"/>
    </xf>
    <xf numFmtId="169" fontId="20" fillId="0" borderId="5" xfId="0" applyNumberFormat="1" applyFont="1" applyBorder="1" applyAlignment="1">
      <alignment horizontal="right" vertical="center"/>
    </xf>
    <xf numFmtId="170" fontId="20" fillId="0" borderId="5" xfId="0" applyNumberFormat="1" applyFont="1" applyBorder="1" applyAlignment="1">
      <alignment horizontal="right" vertical="center"/>
    </xf>
    <xf numFmtId="0" fontId="20" fillId="0" borderId="8" xfId="0" applyFont="1" applyBorder="1" applyAlignment="1">
      <alignment horizontal="left" vertical="center" wrapText="1"/>
    </xf>
    <xf numFmtId="0" fontId="0" fillId="0" borderId="5" xfId="0" applyFont="1" applyBorder="1" applyAlignment="1">
      <alignment horizontal="center" vertical="center"/>
    </xf>
    <xf numFmtId="0" fontId="22" fillId="13" borderId="6" xfId="0" applyFont="1" applyFill="1" applyBorder="1" applyAlignment="1">
      <alignment horizontal="center"/>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0" fillId="0" borderId="20" xfId="0" applyFont="1" applyBorder="1" applyAlignment="1">
      <alignment horizontal="center" vertical="center" wrapText="1"/>
    </xf>
    <xf numFmtId="0" fontId="27" fillId="0" borderId="21" xfId="0" applyFont="1" applyBorder="1" applyAlignment="1">
      <alignment wrapText="1" shrinkToFit="1"/>
    </xf>
    <xf numFmtId="44" fontId="20" fillId="0" borderId="5" xfId="9" applyFont="1" applyBorder="1" applyAlignment="1" applyProtection="1">
      <alignment horizontal="center" vertical="center" wrapText="1"/>
    </xf>
    <xf numFmtId="44" fontId="20" fillId="0" borderId="5" xfId="9" applyFont="1" applyBorder="1" applyAlignment="1" applyProtection="1">
      <alignment horizontal="center" vertical="center"/>
    </xf>
    <xf numFmtId="0" fontId="10" fillId="0" borderId="22" xfId="0" applyFont="1" applyBorder="1" applyAlignment="1">
      <alignment horizontal="center"/>
    </xf>
    <xf numFmtId="169" fontId="10" fillId="0" borderId="5" xfId="0" applyNumberFormat="1" applyFont="1" applyBorder="1"/>
    <xf numFmtId="0" fontId="10" fillId="13" borderId="22" xfId="0" applyFont="1" applyFill="1" applyBorder="1" applyAlignment="1">
      <alignment horizontal="center" wrapText="1"/>
    </xf>
    <xf numFmtId="170" fontId="10" fillId="0" borderId="5" xfId="0" applyNumberFormat="1" applyFont="1" applyBorder="1"/>
    <xf numFmtId="0" fontId="10" fillId="13" borderId="22" xfId="0" applyFont="1" applyFill="1" applyBorder="1" applyAlignment="1">
      <alignment horizontal="left" wrapText="1"/>
    </xf>
    <xf numFmtId="0" fontId="10" fillId="0" borderId="23" xfId="0" applyFont="1" applyBorder="1" applyAlignment="1">
      <alignment horizontal="center"/>
    </xf>
    <xf numFmtId="0" fontId="20" fillId="0" borderId="0" xfId="0" applyFont="1" applyAlignment="1">
      <alignment horizontal="left" vertical="center" wrapText="1"/>
    </xf>
    <xf numFmtId="0" fontId="10" fillId="0" borderId="0" xfId="0" applyFont="1"/>
    <xf numFmtId="0" fontId="10" fillId="0" borderId="0" xfId="0" applyFont="1" applyAlignment="1">
      <alignment horizontal="center"/>
    </xf>
    <xf numFmtId="170" fontId="10" fillId="0" borderId="0" xfId="0" applyNumberFormat="1" applyFont="1"/>
    <xf numFmtId="0" fontId="22" fillId="0" borderId="18" xfId="0" applyFont="1" applyBorder="1" applyAlignment="1">
      <alignment horizontal="center"/>
    </xf>
    <xf numFmtId="0" fontId="27" fillId="0" borderId="21" xfId="0" applyFont="1" applyBorder="1" applyAlignment="1">
      <alignment wrapText="1"/>
    </xf>
    <xf numFmtId="44" fontId="1" fillId="0" borderId="5" xfId="9" applyFont="1" applyBorder="1" applyAlignment="1" applyProtection="1">
      <alignment horizontal="right" vertical="center"/>
    </xf>
    <xf numFmtId="0" fontId="10" fillId="0" borderId="5" xfId="0" applyFont="1" applyBorder="1" applyAlignment="1">
      <alignment horizontal="center"/>
    </xf>
    <xf numFmtId="0" fontId="22" fillId="0" borderId="0" xfId="0" applyFont="1" applyAlignment="1">
      <alignment horizontal="center" vertical="center" wrapText="1"/>
    </xf>
    <xf numFmtId="0" fontId="25" fillId="0" borderId="0" xfId="0" applyFont="1" applyAlignment="1">
      <alignment horizontal="center"/>
    </xf>
    <xf numFmtId="0" fontId="27" fillId="0" borderId="5" xfId="0" applyFont="1" applyBorder="1" applyAlignment="1">
      <alignment horizontal="center" vertical="center" wrapText="1"/>
    </xf>
    <xf numFmtId="0" fontId="29" fillId="0" borderId="5" xfId="0" applyFont="1" applyBorder="1" applyAlignment="1">
      <alignment horizontal="center"/>
    </xf>
    <xf numFmtId="0" fontId="25" fillId="0" borderId="5" xfId="0" applyFont="1" applyBorder="1" applyAlignment="1">
      <alignment horizontal="center"/>
    </xf>
    <xf numFmtId="0" fontId="25" fillId="0" borderId="5" xfId="0" applyFont="1" applyBorder="1" applyAlignment="1">
      <alignment horizontal="center" wrapText="1"/>
    </xf>
    <xf numFmtId="0" fontId="0" fillId="0" borderId="5" xfId="0" applyFont="1" applyBorder="1" applyAlignment="1">
      <alignment horizontal="center"/>
    </xf>
    <xf numFmtId="44" fontId="10" fillId="0" borderId="5" xfId="6" applyFont="1" applyBorder="1" applyAlignment="1" applyProtection="1">
      <alignment vertical="center"/>
    </xf>
    <xf numFmtId="0" fontId="20" fillId="0" borderId="5" xfId="0" applyFont="1" applyBorder="1" applyAlignment="1">
      <alignment wrapText="1"/>
    </xf>
    <xf numFmtId="44" fontId="10" fillId="0" borderId="4" xfId="6" applyFont="1" applyBorder="1" applyAlignment="1" applyProtection="1">
      <alignment vertical="center"/>
    </xf>
    <xf numFmtId="0" fontId="30" fillId="0" borderId="5" xfId="0" applyFont="1" applyBorder="1" applyAlignment="1">
      <alignment wrapText="1"/>
    </xf>
    <xf numFmtId="0" fontId="31" fillId="0" borderId="5" xfId="10" applyFont="1" applyBorder="1" applyAlignment="1" applyProtection="1">
      <alignment wrapText="1"/>
    </xf>
    <xf numFmtId="0" fontId="25" fillId="0" borderId="0" xfId="0" applyFont="1" applyAlignment="1">
      <alignment horizontal="center"/>
    </xf>
    <xf numFmtId="169" fontId="0" fillId="0" borderId="5" xfId="0" applyNumberFormat="1" applyFont="1" applyBorder="1"/>
    <xf numFmtId="0" fontId="21" fillId="0" borderId="0" xfId="0" applyFont="1" applyAlignment="1">
      <alignment wrapText="1"/>
    </xf>
    <xf numFmtId="0" fontId="10" fillId="13" borderId="24" xfId="0" applyFont="1" applyFill="1" applyBorder="1" applyAlignment="1">
      <alignment horizontal="left" wrapText="1"/>
    </xf>
    <xf numFmtId="0" fontId="10" fillId="0" borderId="1" xfId="0" applyFont="1" applyBorder="1" applyAlignment="1">
      <alignment horizontal="center"/>
    </xf>
    <xf numFmtId="0" fontId="0" fillId="0" borderId="0" xfId="0" applyFont="1" applyAlignment="1">
      <alignment horizontal="center"/>
    </xf>
    <xf numFmtId="0" fontId="20" fillId="0" borderId="8" xfId="0" applyFont="1" applyBorder="1" applyAlignment="1">
      <alignment horizontal="left" wrapText="1"/>
    </xf>
    <xf numFmtId="0" fontId="22" fillId="13" borderId="5" xfId="11" applyFont="1" applyFill="1" applyBorder="1" applyAlignment="1">
      <alignment horizontal="center" vertical="center"/>
    </xf>
    <xf numFmtId="0" fontId="29" fillId="13" borderId="5" xfId="11" applyFont="1" applyFill="1" applyBorder="1" applyAlignment="1">
      <alignment horizontal="center" vertical="center" wrapText="1"/>
    </xf>
    <xf numFmtId="0" fontId="29" fillId="13" borderId="5" xfId="11" applyFont="1" applyFill="1" applyBorder="1" applyAlignment="1">
      <alignment horizontal="center" vertical="center" wrapText="1"/>
    </xf>
    <xf numFmtId="0" fontId="25" fillId="0" borderId="0" xfId="0" applyFont="1"/>
    <xf numFmtId="0" fontId="20" fillId="0" borderId="5" xfId="11" applyFont="1" applyBorder="1" applyAlignment="1">
      <alignment vertical="center" wrapText="1"/>
    </xf>
    <xf numFmtId="0" fontId="20" fillId="0" borderId="5" xfId="11" applyFont="1" applyBorder="1" applyAlignment="1">
      <alignment horizontal="center" vertical="center" wrapText="1"/>
    </xf>
    <xf numFmtId="44" fontId="1" fillId="0" borderId="5" xfId="1" applyFont="1" applyBorder="1"/>
    <xf numFmtId="0" fontId="20" fillId="0" borderId="0" xfId="11" applyFont="1"/>
    <xf numFmtId="44" fontId="1" fillId="0" borderId="0" xfId="1" applyFont="1"/>
    <xf numFmtId="0" fontId="20" fillId="13" borderId="5" xfId="11" applyFont="1" applyFill="1" applyBorder="1" applyAlignment="1">
      <alignment vertical="center" wrapText="1"/>
    </xf>
    <xf numFmtId="0" fontId="20" fillId="13" borderId="5" xfId="11" applyFont="1" applyFill="1" applyBorder="1" applyAlignment="1">
      <alignment horizontal="center" vertical="center" wrapText="1"/>
    </xf>
    <xf numFmtId="0" fontId="20" fillId="0" borderId="5" xfId="11" applyFont="1" applyBorder="1"/>
    <xf numFmtId="0" fontId="32" fillId="0" borderId="13" xfId="0" applyFont="1" applyBorder="1" applyAlignment="1">
      <alignment horizontal="center" vertical="center"/>
    </xf>
    <xf numFmtId="0" fontId="19" fillId="13" borderId="7" xfId="0" applyFont="1" applyFill="1" applyBorder="1" applyAlignment="1">
      <alignment horizontal="left"/>
    </xf>
    <xf numFmtId="0" fontId="19" fillId="13" borderId="8" xfId="0" applyFont="1" applyFill="1" applyBorder="1"/>
    <xf numFmtId="0" fontId="19" fillId="13" borderId="9" xfId="0" applyFont="1" applyFill="1" applyBorder="1"/>
    <xf numFmtId="0" fontId="19" fillId="13" borderId="5" xfId="0" applyFont="1" applyFill="1" applyBorder="1" applyAlignment="1">
      <alignment wrapText="1"/>
    </xf>
    <xf numFmtId="0" fontId="19" fillId="13" borderId="5" xfId="0" applyFont="1" applyFill="1" applyBorder="1" applyAlignment="1">
      <alignment horizontal="justify" vertical="center"/>
    </xf>
    <xf numFmtId="0" fontId="19" fillId="13" borderId="5" xfId="0" applyFont="1" applyFill="1" applyBorder="1" applyAlignment="1">
      <alignment horizontal="center" vertical="center" wrapText="1"/>
    </xf>
    <xf numFmtId="0" fontId="19" fillId="13" borderId="5" xfId="0" applyFont="1" applyFill="1" applyBorder="1" applyAlignment="1">
      <alignment horizontal="center"/>
    </xf>
    <xf numFmtId="171" fontId="19" fillId="13" borderId="5" xfId="7" applyNumberFormat="1" applyFont="1" applyFill="1" applyBorder="1"/>
    <xf numFmtId="0" fontId="19" fillId="13" borderId="5" xfId="0" applyFont="1" applyFill="1" applyBorder="1" applyAlignment="1">
      <alignment horizontal="justify" vertical="center" wrapText="1"/>
    </xf>
    <xf numFmtId="0" fontId="19" fillId="13" borderId="13" xfId="7" applyFont="1" applyFill="1" applyBorder="1" applyAlignment="1">
      <alignment horizontal="left" vertical="center"/>
    </xf>
    <xf numFmtId="0" fontId="19" fillId="13" borderId="5" xfId="7" applyFont="1" applyFill="1" applyBorder="1" applyAlignment="1">
      <alignment horizontal="center" vertical="center" wrapText="1"/>
    </xf>
    <xf numFmtId="0" fontId="19" fillId="13" borderId="5" xfId="7" applyFont="1" applyFill="1" applyBorder="1" applyAlignment="1">
      <alignment horizontal="center"/>
    </xf>
    <xf numFmtId="171" fontId="19" fillId="13" borderId="4" xfId="7" applyNumberFormat="1" applyFont="1" applyFill="1" applyBorder="1"/>
    <xf numFmtId="0" fontId="19" fillId="13" borderId="0" xfId="7" applyFont="1" applyFill="1"/>
    <xf numFmtId="0" fontId="19" fillId="13" borderId="5" xfId="0" applyFont="1" applyFill="1" applyBorder="1" applyAlignment="1">
      <alignment horizontal="center" vertical="center" wrapText="1"/>
    </xf>
    <xf numFmtId="0" fontId="23" fillId="13" borderId="0" xfId="0" applyFont="1" applyFill="1"/>
    <xf numFmtId="0" fontId="19" fillId="13" borderId="5" xfId="0" applyFont="1" applyFill="1" applyBorder="1"/>
    <xf numFmtId="0" fontId="19" fillId="13" borderId="5" xfId="0" applyFont="1" applyFill="1" applyBorder="1" applyAlignment="1">
      <alignment horizontal="center" vertical="center"/>
    </xf>
    <xf numFmtId="171" fontId="19" fillId="13" borderId="5" xfId="12" applyNumberFormat="1" applyFont="1" applyFill="1" applyBorder="1" applyAlignment="1" applyProtection="1">
      <alignment horizontal="center" vertical="center"/>
    </xf>
    <xf numFmtId="0" fontId="19" fillId="13" borderId="0" xfId="0" applyFont="1" applyFill="1"/>
    <xf numFmtId="0" fontId="19" fillId="13" borderId="0" xfId="0" applyFont="1" applyFill="1" applyAlignment="1">
      <alignment horizontal="center" vertical="center"/>
    </xf>
    <xf numFmtId="0" fontId="19" fillId="13" borderId="13" xfId="0" applyFont="1" applyFill="1" applyBorder="1" applyAlignment="1">
      <alignment vertical="center" wrapText="1"/>
    </xf>
    <xf numFmtId="172" fontId="19" fillId="13" borderId="5" xfId="0" applyNumberFormat="1" applyFont="1" applyFill="1" applyBorder="1" applyAlignment="1">
      <alignment horizontal="center" vertical="center"/>
    </xf>
    <xf numFmtId="171" fontId="19" fillId="13" borderId="5" xfId="12" applyNumberFormat="1" applyFont="1" applyFill="1" applyBorder="1" applyAlignment="1" applyProtection="1">
      <alignment vertical="center" wrapText="1"/>
    </xf>
    <xf numFmtId="0" fontId="19" fillId="13" borderId="5" xfId="0" applyFont="1" applyFill="1" applyBorder="1" applyAlignment="1">
      <alignment horizontal="left"/>
    </xf>
    <xf numFmtId="171" fontId="19" fillId="13" borderId="5" xfId="12" applyNumberFormat="1" applyFont="1" applyFill="1" applyBorder="1" applyAlignment="1" applyProtection="1">
      <alignment vertical="center"/>
    </xf>
    <xf numFmtId="171" fontId="19" fillId="13" borderId="5" xfId="12" applyNumberFormat="1" applyFont="1" applyFill="1" applyBorder="1" applyProtection="1"/>
    <xf numFmtId="0" fontId="19" fillId="13" borderId="0" xfId="7" applyFont="1" applyFill="1" applyAlignment="1">
      <alignment horizontal="center" vertical="center"/>
    </xf>
    <xf numFmtId="171" fontId="19" fillId="13" borderId="0" xfId="13" applyFont="1" applyFill="1" applyBorder="1" applyAlignment="1" applyProtection="1">
      <alignment horizontal="center" vertical="center"/>
    </xf>
    <xf numFmtId="171" fontId="19" fillId="13" borderId="5" xfId="13" applyFont="1" applyFill="1" applyBorder="1" applyAlignment="1" applyProtection="1">
      <alignment vertical="center" wrapText="1"/>
    </xf>
    <xf numFmtId="0" fontId="19" fillId="13" borderId="5" xfId="0" applyFont="1" applyFill="1" applyBorder="1" applyAlignment="1">
      <alignment horizontal="left" wrapText="1"/>
    </xf>
    <xf numFmtId="171" fontId="19" fillId="13" borderId="5" xfId="13" applyFont="1" applyFill="1" applyBorder="1" applyAlignment="1" applyProtection="1">
      <alignment horizontal="center" vertical="center"/>
    </xf>
    <xf numFmtId="0" fontId="19" fillId="13" borderId="5" xfId="0" applyFont="1" applyFill="1" applyBorder="1" applyAlignment="1">
      <alignment horizontal="center"/>
    </xf>
    <xf numFmtId="0" fontId="2" fillId="13" borderId="5" xfId="0" applyFont="1" applyFill="1" applyBorder="1" applyAlignment="1">
      <alignment horizontal="center" wrapText="1"/>
    </xf>
    <xf numFmtId="0" fontId="2" fillId="13" borderId="5" xfId="0" applyFont="1" applyFill="1" applyBorder="1" applyAlignment="1">
      <alignment horizontal="center"/>
    </xf>
    <xf numFmtId="0" fontId="2" fillId="13" borderId="0" xfId="0" applyFont="1" applyFill="1"/>
    <xf numFmtId="165" fontId="4" fillId="0" borderId="5" xfId="0" applyNumberFormat="1" applyFont="1" applyFill="1" applyBorder="1" applyAlignment="1">
      <alignment horizontal="center" vertical="center" wrapText="1"/>
    </xf>
    <xf numFmtId="0" fontId="34" fillId="15" borderId="5" xfId="0" applyFont="1" applyFill="1" applyBorder="1" applyAlignment="1">
      <alignment horizontal="center" vertical="center" wrapText="1"/>
    </xf>
    <xf numFmtId="0" fontId="34" fillId="15" borderId="1" xfId="0" applyFont="1" applyFill="1" applyBorder="1" applyAlignment="1">
      <alignment horizontal="center" vertical="center" wrapText="1"/>
    </xf>
    <xf numFmtId="0" fontId="34" fillId="15" borderId="5" xfId="0" applyFont="1" applyFill="1" applyBorder="1" applyAlignment="1">
      <alignment horizontal="center" vertical="center" wrapText="1"/>
    </xf>
    <xf numFmtId="0" fontId="34" fillId="0" borderId="5" xfId="0" applyFont="1" applyBorder="1" applyAlignment="1">
      <alignment horizontal="center" vertical="center"/>
    </xf>
    <xf numFmtId="0" fontId="34" fillId="0" borderId="1" xfId="0" applyFont="1" applyBorder="1" applyAlignment="1">
      <alignment horizontal="center" vertical="center"/>
    </xf>
    <xf numFmtId="0" fontId="34" fillId="0" borderId="5" xfId="0" applyFont="1" applyBorder="1" applyAlignment="1">
      <alignment horizontal="center" vertical="center" wrapText="1"/>
    </xf>
    <xf numFmtId="0" fontId="34" fillId="0" borderId="5" xfId="0" applyFont="1" applyBorder="1" applyAlignment="1">
      <alignment horizontal="center" vertical="center" wrapText="1"/>
    </xf>
    <xf numFmtId="167" fontId="34" fillId="0" borderId="5" xfId="0" applyNumberFormat="1" applyFont="1" applyBorder="1" applyAlignment="1">
      <alignment horizontal="center" vertical="center"/>
    </xf>
    <xf numFmtId="167" fontId="34" fillId="0" borderId="1" xfId="0" applyNumberFormat="1" applyFont="1" applyBorder="1" applyAlignment="1">
      <alignment horizontal="center" vertical="center"/>
    </xf>
    <xf numFmtId="167" fontId="34" fillId="0" borderId="5" xfId="0" applyNumberFormat="1" applyFont="1" applyBorder="1" applyAlignment="1">
      <alignment horizontal="center" vertical="center" wrapText="1"/>
    </xf>
    <xf numFmtId="0" fontId="34" fillId="0" borderId="5" xfId="0" applyFont="1" applyBorder="1" applyAlignment="1">
      <alignment horizontal="center" wrapText="1"/>
    </xf>
    <xf numFmtId="166" fontId="34" fillId="0" borderId="5" xfId="0" applyNumberFormat="1" applyFont="1" applyBorder="1" applyAlignment="1">
      <alignment horizontal="center" vertical="center"/>
    </xf>
    <xf numFmtId="166" fontId="34" fillId="14" borderId="5" xfId="0" applyNumberFormat="1" applyFont="1" applyFill="1" applyBorder="1" applyAlignment="1">
      <alignment horizontal="center" vertical="center"/>
    </xf>
    <xf numFmtId="44" fontId="4" fillId="0" borderId="0" xfId="1" applyFont="1"/>
  </cellXfs>
  <cellStyles count="16">
    <cellStyle name="Hiperlink" xfId="10" builtinId="8"/>
    <cellStyle name="Moeda" xfId="1" builtinId="4"/>
    <cellStyle name="Moeda 2" xfId="9"/>
    <cellStyle name="Moeda 2 2" xfId="13"/>
    <cellStyle name="Moeda 3" xfId="8"/>
    <cellStyle name="Moeda 4" xfId="12"/>
    <cellStyle name="Moeda 5" xfId="6"/>
    <cellStyle name="Moeda 6" xfId="3"/>
    <cellStyle name="Normal" xfId="0" builtinId="0"/>
    <cellStyle name="Normal 2" xfId="7"/>
    <cellStyle name="Normal 3" xfId="11"/>
    <cellStyle name="Normal 6" xfId="4"/>
    <cellStyle name="Porcentagem 4" xfId="5"/>
    <cellStyle name="Porcentagem 5" xfId="2"/>
    <cellStyle name="Vírgula 2" xfId="14"/>
    <cellStyle name="Vírgula 3"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_GO%20SRA%2005%202023%20-%20modelo%20para%20analise%20fernando%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RESUMO"/>
      <sheetName val="Produtividade X Postos"/>
      <sheetName val="Metragem por Localidade"/>
      <sheetName val="Produtividade X Custos Resumo"/>
      <sheetName val="BASE-MATERIAL-EQUIP-UNIFORME"/>
      <sheetName val="BASE-APR VR"/>
      <sheetName val="BASE-Endereços e Contatos"/>
      <sheetName val="BASE-Alíquotas ISS"/>
      <sheetName val="BASE-Tarifas de Passagens"/>
      <sheetName val="1-Servente Goiânia SPE"/>
      <sheetName val="2-Servente Goiânia Sede"/>
      <sheetName val="3-Servente - Caldas Novas"/>
      <sheetName val="4-Servente - Catalão"/>
      <sheetName val="5-Servente - Goiás"/>
      <sheetName val="6-Servente - Itumbiara"/>
      <sheetName val="7-Servente - Jataí"/>
      <sheetName val="8-Servente - Morrinhos"/>
      <sheetName val="9-Servente - Pires do Rio"/>
      <sheetName val="10-Servente - Rialma"/>
      <sheetName val="11-Servente - Rio Verde"/>
      <sheetName val="12-Servente - S. M. Araguaia"/>
      <sheetName val="13-Servente - Uruaçu"/>
    </sheetNames>
    <sheetDataSet>
      <sheetData sheetId="0">
        <row r="39">
          <cell r="H39">
            <v>566499.83999999997</v>
          </cell>
        </row>
      </sheetData>
      <sheetData sheetId="1"/>
      <sheetData sheetId="2"/>
      <sheetData sheetId="3"/>
      <sheetData sheetId="4"/>
      <sheetData sheetId="5">
        <row r="20">
          <cell r="C20">
            <v>1380</v>
          </cell>
        </row>
      </sheetData>
      <sheetData sheetId="6"/>
      <sheetData sheetId="7">
        <row r="2">
          <cell r="B2">
            <v>0.05</v>
          </cell>
        </row>
      </sheetData>
      <sheetData sheetId="8">
        <row r="4">
          <cell r="F4">
            <v>4.3</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superepi.com.br/luva-tatil-volk-em-nylon-com-banho-pu-preta-ca-30916-p1534/" TargetMode="External"/><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1"/>
  <sheetViews>
    <sheetView topLeftCell="A94" workbookViewId="0">
      <selection activeCell="A52" sqref="A52:I52"/>
    </sheetView>
  </sheetViews>
  <sheetFormatPr defaultColWidth="9.109375" defaultRowHeight="13.2"/>
  <cols>
    <col min="1" max="2" width="13.6640625" style="55" customWidth="1"/>
    <col min="3" max="3" width="16.6640625" style="55" customWidth="1"/>
    <col min="4" max="4" width="14.6640625" style="55" customWidth="1"/>
    <col min="5" max="5" width="12.44140625" style="55" customWidth="1"/>
    <col min="6" max="6" width="13.109375" style="55" bestFit="1" customWidth="1"/>
    <col min="7" max="7" width="12.33203125" style="55" customWidth="1"/>
    <col min="8" max="8" width="20.44140625" style="55" customWidth="1"/>
    <col min="9" max="9" width="23.88671875" style="55" customWidth="1"/>
    <col min="10" max="10" width="10.44140625" style="55" bestFit="1" customWidth="1"/>
    <col min="11" max="11" width="11" style="55" bestFit="1" customWidth="1"/>
    <col min="12" max="12" width="9.44140625" style="55" bestFit="1" customWidth="1"/>
    <col min="13" max="13" width="11" style="55" bestFit="1" customWidth="1"/>
    <col min="14" max="14" width="9.109375" style="55"/>
    <col min="15" max="15" width="11.109375" style="55" customWidth="1"/>
    <col min="16" max="18" width="9.109375" style="55"/>
    <col min="19" max="19" width="9.44140625" style="55" bestFit="1" customWidth="1"/>
    <col min="20" max="16384" width="9.109375" style="55"/>
  </cols>
  <sheetData>
    <row r="1" spans="1:12" ht="61.5" customHeight="1">
      <c r="A1" s="53" t="s">
        <v>38</v>
      </c>
      <c r="B1" s="54"/>
      <c r="C1" s="54"/>
      <c r="D1" s="54"/>
      <c r="E1" s="54"/>
      <c r="F1" s="54"/>
      <c r="G1" s="54"/>
      <c r="H1" s="54"/>
      <c r="I1" s="54"/>
    </row>
    <row r="2" spans="1:12" ht="12.75" customHeight="1">
      <c r="A2" s="10" t="s">
        <v>381</v>
      </c>
      <c r="B2" s="10"/>
      <c r="C2" s="10"/>
      <c r="D2" s="10"/>
      <c r="E2" s="10"/>
      <c r="F2" s="10"/>
      <c r="G2" s="10"/>
      <c r="H2" s="10"/>
      <c r="I2" s="10"/>
    </row>
    <row r="3" spans="1:12" ht="12.75" customHeight="1">
      <c r="A3" s="10" t="s">
        <v>382</v>
      </c>
      <c r="B3" s="10"/>
      <c r="C3" s="10"/>
      <c r="D3" s="10"/>
      <c r="E3" s="10"/>
      <c r="F3" s="10"/>
      <c r="G3" s="10"/>
      <c r="H3" s="10"/>
      <c r="I3" s="10"/>
    </row>
    <row r="4" spans="1:12" ht="12.75" customHeight="1">
      <c r="A4" s="56"/>
      <c r="B4" s="56"/>
      <c r="C4" s="56"/>
      <c r="D4" s="56"/>
      <c r="E4" s="56"/>
      <c r="F4" s="56"/>
      <c r="G4" s="56"/>
      <c r="H4" s="56"/>
      <c r="I4" s="56"/>
    </row>
    <row r="5" spans="1:12" ht="12.75" customHeight="1">
      <c r="A5" s="57"/>
      <c r="B5" s="57"/>
      <c r="C5" s="57"/>
      <c r="D5" s="57"/>
      <c r="E5" s="57"/>
      <c r="F5" s="57"/>
      <c r="G5" s="57"/>
      <c r="H5" s="57"/>
      <c r="I5" s="57"/>
    </row>
    <row r="6" spans="1:12" ht="21" customHeight="1">
      <c r="A6" s="58" t="s">
        <v>39</v>
      </c>
      <c r="B6" s="59"/>
      <c r="C6" s="59"/>
      <c r="D6" s="59"/>
      <c r="E6" s="59"/>
      <c r="F6" s="59"/>
      <c r="G6" s="59"/>
      <c r="H6" s="59"/>
      <c r="I6" s="60"/>
    </row>
    <row r="7" spans="1:12">
      <c r="A7" s="61" t="s">
        <v>4</v>
      </c>
      <c r="B7" s="62" t="s">
        <v>40</v>
      </c>
      <c r="C7" s="63"/>
      <c r="D7" s="63"/>
      <c r="E7" s="63"/>
      <c r="F7" s="63"/>
      <c r="G7" s="64"/>
      <c r="H7" s="65" t="s">
        <v>41</v>
      </c>
      <c r="I7" s="66"/>
    </row>
    <row r="8" spans="1:12">
      <c r="A8" s="67" t="s">
        <v>6</v>
      </c>
      <c r="B8" s="68" t="s">
        <v>42</v>
      </c>
      <c r="C8" s="69"/>
      <c r="D8" s="69"/>
      <c r="E8" s="69"/>
      <c r="F8" s="69"/>
      <c r="G8" s="70"/>
      <c r="H8" s="71" t="s">
        <v>43</v>
      </c>
      <c r="I8" s="72"/>
    </row>
    <row r="9" spans="1:12" ht="37.5" customHeight="1">
      <c r="A9" s="67" t="s">
        <v>8</v>
      </c>
      <c r="B9" s="68" t="s">
        <v>44</v>
      </c>
      <c r="C9" s="69"/>
      <c r="D9" s="69"/>
      <c r="E9" s="69"/>
      <c r="F9" s="69"/>
      <c r="G9" s="70"/>
      <c r="H9" s="73" t="s">
        <v>384</v>
      </c>
      <c r="I9" s="74"/>
      <c r="K9" s="73"/>
      <c r="L9" s="74"/>
    </row>
    <row r="10" spans="1:12">
      <c r="A10" s="67" t="s">
        <v>10</v>
      </c>
      <c r="B10" s="68" t="s">
        <v>45</v>
      </c>
      <c r="C10" s="69"/>
      <c r="D10" s="69"/>
      <c r="E10" s="69"/>
      <c r="F10" s="69"/>
      <c r="G10" s="70"/>
      <c r="H10" s="71">
        <v>12</v>
      </c>
      <c r="I10" s="72"/>
    </row>
    <row r="11" spans="1:12">
      <c r="A11" s="68" t="s">
        <v>46</v>
      </c>
      <c r="B11" s="69"/>
      <c r="C11" s="69"/>
      <c r="D11" s="69"/>
      <c r="E11" s="69"/>
      <c r="F11" s="69"/>
      <c r="G11" s="69"/>
      <c r="H11" s="69"/>
      <c r="I11" s="70"/>
    </row>
    <row r="12" spans="1:12">
      <c r="A12" s="75"/>
      <c r="B12" s="76"/>
      <c r="C12" s="76"/>
      <c r="D12" s="76"/>
      <c r="E12" s="76"/>
      <c r="F12" s="76"/>
      <c r="G12" s="76"/>
      <c r="H12" s="76"/>
      <c r="I12" s="77"/>
    </row>
    <row r="13" spans="1:12">
      <c r="A13" s="29" t="s">
        <v>47</v>
      </c>
      <c r="B13" s="30"/>
      <c r="C13" s="30"/>
      <c r="D13" s="30"/>
      <c r="E13" s="30"/>
      <c r="F13" s="30"/>
      <c r="G13" s="30"/>
      <c r="H13" s="30"/>
      <c r="I13" s="31"/>
    </row>
    <row r="14" spans="1:12">
      <c r="A14" s="5" t="s">
        <v>48</v>
      </c>
      <c r="B14" s="6"/>
      <c r="C14" s="6"/>
      <c r="D14" s="6"/>
      <c r="E14" s="6"/>
      <c r="F14" s="6"/>
      <c r="G14" s="6"/>
      <c r="H14" s="6"/>
      <c r="I14" s="7"/>
    </row>
    <row r="15" spans="1:12" ht="42" customHeight="1">
      <c r="A15" s="67">
        <v>1</v>
      </c>
      <c r="B15" s="68" t="s">
        <v>49</v>
      </c>
      <c r="C15" s="69"/>
      <c r="D15" s="69"/>
      <c r="E15" s="69"/>
      <c r="F15" s="69"/>
      <c r="G15" s="70"/>
      <c r="H15" s="78" t="s">
        <v>50</v>
      </c>
      <c r="I15" s="79"/>
    </row>
    <row r="16" spans="1:12">
      <c r="A16" s="67">
        <v>2</v>
      </c>
      <c r="B16" s="68" t="s">
        <v>51</v>
      </c>
      <c r="C16" s="69"/>
      <c r="D16" s="69"/>
      <c r="E16" s="69"/>
      <c r="F16" s="69"/>
      <c r="G16" s="70"/>
      <c r="H16" s="80" t="s">
        <v>52</v>
      </c>
      <c r="I16" s="81"/>
    </row>
    <row r="17" spans="1:13">
      <c r="A17" s="67">
        <v>3</v>
      </c>
      <c r="B17" s="68" t="s">
        <v>53</v>
      </c>
      <c r="C17" s="69"/>
      <c r="D17" s="69"/>
      <c r="E17" s="69"/>
      <c r="F17" s="69"/>
      <c r="G17" s="70"/>
      <c r="H17" s="80">
        <v>1380</v>
      </c>
      <c r="I17" s="81"/>
    </row>
    <row r="18" spans="1:13">
      <c r="A18" s="67">
        <v>4</v>
      </c>
      <c r="B18" s="68" t="s">
        <v>54</v>
      </c>
      <c r="C18" s="69"/>
      <c r="D18" s="69"/>
      <c r="E18" s="69"/>
      <c r="F18" s="69"/>
      <c r="G18" s="70"/>
      <c r="H18" s="80" t="s">
        <v>55</v>
      </c>
      <c r="I18" s="81"/>
    </row>
    <row r="19" spans="1:13">
      <c r="A19" s="42">
        <v>5</v>
      </c>
      <c r="B19" s="68" t="s">
        <v>56</v>
      </c>
      <c r="C19" s="69"/>
      <c r="D19" s="69"/>
      <c r="E19" s="69"/>
      <c r="F19" s="69"/>
      <c r="G19" s="70"/>
      <c r="H19" s="82" t="s">
        <v>57</v>
      </c>
      <c r="I19" s="83"/>
    </row>
    <row r="20" spans="1:13">
      <c r="A20" s="84"/>
      <c r="B20" s="85"/>
      <c r="C20" s="85"/>
      <c r="D20" s="85"/>
      <c r="E20" s="85"/>
      <c r="F20" s="85"/>
      <c r="G20" s="85"/>
      <c r="H20" s="85"/>
      <c r="I20" s="86"/>
    </row>
    <row r="21" spans="1:13">
      <c r="A21" s="29" t="s">
        <v>58</v>
      </c>
      <c r="B21" s="30"/>
      <c r="C21" s="30"/>
      <c r="D21" s="30"/>
      <c r="E21" s="30"/>
      <c r="F21" s="30"/>
      <c r="G21" s="30"/>
      <c r="H21" s="30"/>
      <c r="I21" s="31"/>
    </row>
    <row r="22" spans="1:13">
      <c r="A22" s="4">
        <v>1</v>
      </c>
      <c r="B22" s="5" t="s">
        <v>59</v>
      </c>
      <c r="C22" s="6"/>
      <c r="D22" s="6"/>
      <c r="E22" s="6"/>
      <c r="F22" s="6"/>
      <c r="G22" s="7"/>
      <c r="H22" s="4" t="s">
        <v>60</v>
      </c>
      <c r="I22" s="8" t="s">
        <v>3</v>
      </c>
    </row>
    <row r="23" spans="1:13">
      <c r="A23" s="67" t="s">
        <v>4</v>
      </c>
      <c r="B23" s="68" t="s">
        <v>61</v>
      </c>
      <c r="C23" s="69"/>
      <c r="D23" s="69"/>
      <c r="E23" s="69"/>
      <c r="F23" s="69"/>
      <c r="G23" s="69"/>
      <c r="H23" s="70"/>
      <c r="I23" s="40">
        <v>1380</v>
      </c>
    </row>
    <row r="24" spans="1:13">
      <c r="A24" s="67" t="s">
        <v>6</v>
      </c>
      <c r="B24" s="87" t="s">
        <v>62</v>
      </c>
      <c r="C24" s="88"/>
      <c r="D24" s="88"/>
      <c r="E24" s="88"/>
      <c r="F24" s="88"/>
      <c r="G24" s="89"/>
      <c r="H24" s="90"/>
      <c r="I24" s="12"/>
      <c r="M24" s="91"/>
    </row>
    <row r="25" spans="1:13">
      <c r="A25" s="67" t="s">
        <v>8</v>
      </c>
      <c r="B25" s="92" t="s">
        <v>63</v>
      </c>
      <c r="C25" s="93"/>
      <c r="D25" s="93"/>
      <c r="E25" s="93"/>
      <c r="F25" s="93"/>
      <c r="G25" s="94"/>
      <c r="H25" s="95"/>
      <c r="I25" s="96"/>
    </row>
    <row r="26" spans="1:13" ht="14.4">
      <c r="A26" s="67"/>
      <c r="B26" s="97" t="s">
        <v>64</v>
      </c>
      <c r="C26" s="98"/>
      <c r="D26" s="98"/>
      <c r="E26" s="98"/>
      <c r="F26" s="98"/>
      <c r="G26" s="99"/>
      <c r="H26" s="95"/>
      <c r="I26" s="96"/>
    </row>
    <row r="27" spans="1:13">
      <c r="A27" s="67" t="s">
        <v>10</v>
      </c>
      <c r="B27" s="10" t="s">
        <v>65</v>
      </c>
      <c r="C27" s="10"/>
      <c r="D27" s="10"/>
      <c r="E27" s="10"/>
      <c r="F27" s="10"/>
      <c r="G27" s="10"/>
      <c r="H27" s="67"/>
      <c r="I27" s="12"/>
    </row>
    <row r="28" spans="1:13">
      <c r="A28" s="67" t="s">
        <v>12</v>
      </c>
      <c r="B28" s="10" t="s">
        <v>66</v>
      </c>
      <c r="C28" s="10"/>
      <c r="D28" s="10"/>
      <c r="E28" s="10"/>
      <c r="F28" s="10"/>
      <c r="G28" s="10"/>
      <c r="H28" s="100"/>
      <c r="I28" s="12"/>
    </row>
    <row r="29" spans="1:13">
      <c r="A29" s="101" t="s">
        <v>29</v>
      </c>
      <c r="B29" s="10" t="s">
        <v>67</v>
      </c>
      <c r="C29" s="10"/>
      <c r="D29" s="10"/>
      <c r="E29" s="10"/>
      <c r="F29" s="10"/>
      <c r="G29" s="10"/>
      <c r="H29" s="100"/>
      <c r="I29" s="12"/>
    </row>
    <row r="30" spans="1:13">
      <c r="A30" s="102" t="s">
        <v>14</v>
      </c>
      <c r="B30" s="103"/>
      <c r="C30" s="103"/>
      <c r="D30" s="103"/>
      <c r="E30" s="103"/>
      <c r="F30" s="103"/>
      <c r="G30" s="103"/>
      <c r="H30" s="104"/>
      <c r="I30" s="105">
        <f>SUM(I23:I29)</f>
        <v>1380</v>
      </c>
    </row>
    <row r="31" spans="1:13" ht="32.25" customHeight="1">
      <c r="A31" s="106" t="s">
        <v>68</v>
      </c>
      <c r="B31" s="107"/>
      <c r="C31" s="107"/>
      <c r="D31" s="107"/>
      <c r="E31" s="107"/>
      <c r="F31" s="107"/>
      <c r="G31" s="107"/>
      <c r="H31" s="107"/>
      <c r="I31" s="108"/>
    </row>
    <row r="32" spans="1:13">
      <c r="A32" s="1" t="s">
        <v>69</v>
      </c>
      <c r="B32" s="2"/>
      <c r="C32" s="2"/>
      <c r="D32" s="2"/>
      <c r="E32" s="2"/>
      <c r="F32" s="2"/>
      <c r="G32" s="2"/>
      <c r="H32" s="2"/>
      <c r="I32" s="3"/>
    </row>
    <row r="33" spans="1:16">
      <c r="A33" s="50" t="s">
        <v>70</v>
      </c>
      <c r="B33" s="58" t="s">
        <v>71</v>
      </c>
      <c r="C33" s="59"/>
      <c r="D33" s="59"/>
      <c r="E33" s="59"/>
      <c r="F33" s="59"/>
      <c r="G33" s="59"/>
      <c r="H33" s="109" t="s">
        <v>23</v>
      </c>
      <c r="I33" s="51" t="s">
        <v>3</v>
      </c>
    </row>
    <row r="34" spans="1:16" ht="29.25" customHeight="1">
      <c r="A34" s="9" t="s">
        <v>4</v>
      </c>
      <c r="B34" s="110" t="s">
        <v>72</v>
      </c>
      <c r="C34" s="69"/>
      <c r="D34" s="69"/>
      <c r="E34" s="69"/>
      <c r="F34" s="69"/>
      <c r="G34" s="70"/>
      <c r="H34" s="111">
        <v>8.3333333333333329E-2</v>
      </c>
      <c r="I34" s="12">
        <f>TRUNC($I$30*H34,2)</f>
        <v>115</v>
      </c>
    </row>
    <row r="35" spans="1:16" ht="34.5" customHeight="1">
      <c r="A35" s="9" t="s">
        <v>73</v>
      </c>
      <c r="B35" s="216" t="s">
        <v>134</v>
      </c>
      <c r="C35" s="69"/>
      <c r="D35" s="69"/>
      <c r="E35" s="69"/>
      <c r="F35" s="69"/>
      <c r="G35" s="70"/>
      <c r="H35" s="112">
        <v>0.121</v>
      </c>
      <c r="I35" s="12">
        <f>TRUNC($I$30*H35,2)</f>
        <v>166.98</v>
      </c>
    </row>
    <row r="36" spans="1:16">
      <c r="A36" s="18" t="s">
        <v>14</v>
      </c>
      <c r="B36" s="19"/>
      <c r="C36" s="19"/>
      <c r="D36" s="19"/>
      <c r="E36" s="19"/>
      <c r="F36" s="19"/>
      <c r="G36" s="20"/>
      <c r="H36" s="113">
        <f>SUM(H34:H35)</f>
        <v>0.20433333333333331</v>
      </c>
      <c r="I36" s="21">
        <f>SUM(I34:I35)</f>
        <v>281.98</v>
      </c>
    </row>
    <row r="37" spans="1:16" ht="132.75" customHeight="1">
      <c r="A37" s="114" t="s">
        <v>74</v>
      </c>
      <c r="B37" s="115"/>
      <c r="C37" s="115"/>
      <c r="D37" s="115"/>
      <c r="E37" s="115"/>
      <c r="F37" s="115"/>
      <c r="G37" s="115"/>
      <c r="H37" s="115"/>
      <c r="I37" s="116"/>
    </row>
    <row r="38" spans="1:16">
      <c r="A38" s="219" t="s">
        <v>75</v>
      </c>
      <c r="B38" s="220"/>
      <c r="C38" s="220"/>
      <c r="D38" s="220"/>
      <c r="E38" s="220"/>
      <c r="F38" s="220"/>
      <c r="G38" s="221"/>
      <c r="H38" s="117" t="s">
        <v>16</v>
      </c>
      <c r="I38" s="118">
        <f>I30</f>
        <v>1380</v>
      </c>
    </row>
    <row r="39" spans="1:16">
      <c r="A39" s="222"/>
      <c r="B39" s="223"/>
      <c r="C39" s="223"/>
      <c r="D39" s="223"/>
      <c r="E39" s="223"/>
      <c r="F39" s="223"/>
      <c r="G39" s="224"/>
      <c r="H39" s="117" t="s">
        <v>76</v>
      </c>
      <c r="I39" s="118">
        <f>I36</f>
        <v>281.98</v>
      </c>
    </row>
    <row r="40" spans="1:16">
      <c r="A40" s="225"/>
      <c r="B40" s="226"/>
      <c r="C40" s="226"/>
      <c r="D40" s="226"/>
      <c r="E40" s="226"/>
      <c r="F40" s="226"/>
      <c r="G40" s="227"/>
      <c r="H40" s="117" t="s">
        <v>14</v>
      </c>
      <c r="I40" s="118">
        <f>SUM(I38:I39)</f>
        <v>1661.98</v>
      </c>
    </row>
    <row r="41" spans="1:16" ht="32.25" customHeight="1">
      <c r="A41" s="58" t="s">
        <v>77</v>
      </c>
      <c r="B41" s="119"/>
      <c r="C41" s="119"/>
      <c r="D41" s="119"/>
      <c r="E41" s="119"/>
      <c r="F41" s="119"/>
      <c r="G41" s="119"/>
      <c r="H41" s="119"/>
      <c r="I41" s="120"/>
    </row>
    <row r="42" spans="1:16" ht="12.75" customHeight="1">
      <c r="A42" s="121" t="s">
        <v>78</v>
      </c>
      <c r="B42" s="5" t="s">
        <v>79</v>
      </c>
      <c r="C42" s="6"/>
      <c r="D42" s="6"/>
      <c r="E42" s="6"/>
      <c r="F42" s="6"/>
      <c r="G42" s="7"/>
      <c r="H42" s="109" t="s">
        <v>23</v>
      </c>
      <c r="I42" s="122" t="s">
        <v>3</v>
      </c>
      <c r="M42" s="91"/>
    </row>
    <row r="43" spans="1:16" ht="13.8">
      <c r="A43" s="123" t="s">
        <v>4</v>
      </c>
      <c r="B43" s="110" t="s">
        <v>80</v>
      </c>
      <c r="C43" s="69"/>
      <c r="D43" s="69"/>
      <c r="E43" s="69"/>
      <c r="F43" s="69"/>
      <c r="G43" s="70"/>
      <c r="H43" s="217">
        <v>0.2</v>
      </c>
      <c r="I43" s="12">
        <f>TRUNC(I40*H43,2)</f>
        <v>332.39</v>
      </c>
    </row>
    <row r="44" spans="1:16" ht="13.8">
      <c r="A44" s="123" t="s">
        <v>6</v>
      </c>
      <c r="B44" s="110" t="s">
        <v>81</v>
      </c>
      <c r="C44" s="69"/>
      <c r="D44" s="124"/>
      <c r="E44" s="124"/>
      <c r="F44" s="124"/>
      <c r="G44" s="125"/>
      <c r="H44" s="217">
        <v>2.5000000000000001E-2</v>
      </c>
      <c r="I44" s="12">
        <f>TRUNC(I40*H44,2)</f>
        <v>41.54</v>
      </c>
    </row>
    <row r="45" spans="1:16" ht="35.25" customHeight="1">
      <c r="A45" s="123" t="s">
        <v>8</v>
      </c>
      <c r="B45" s="110" t="s">
        <v>82</v>
      </c>
      <c r="C45" s="126"/>
      <c r="D45" s="127" t="s">
        <v>135</v>
      </c>
      <c r="E45" s="128"/>
      <c r="F45" s="127" t="s">
        <v>136</v>
      </c>
      <c r="G45" s="128"/>
      <c r="H45" s="218">
        <v>1.4999999999999999E-2</v>
      </c>
      <c r="I45" s="12">
        <f>TRUNC(I40*H45,2)</f>
        <v>24.92</v>
      </c>
    </row>
    <row r="46" spans="1:16" ht="13.8">
      <c r="A46" s="123" t="s">
        <v>10</v>
      </c>
      <c r="B46" s="110" t="s">
        <v>83</v>
      </c>
      <c r="C46" s="69"/>
      <c r="D46" s="129"/>
      <c r="E46" s="129"/>
      <c r="F46" s="129"/>
      <c r="G46" s="130"/>
      <c r="H46" s="217">
        <v>1.4999999999999999E-2</v>
      </c>
      <c r="I46" s="12">
        <f>TRUNC(I40*H46,2)</f>
        <v>24.92</v>
      </c>
    </row>
    <row r="47" spans="1:16" ht="13.8">
      <c r="A47" s="123" t="s">
        <v>12</v>
      </c>
      <c r="B47" s="110" t="s">
        <v>84</v>
      </c>
      <c r="C47" s="69"/>
      <c r="D47" s="69"/>
      <c r="E47" s="69"/>
      <c r="F47" s="69"/>
      <c r="G47" s="70"/>
      <c r="H47" s="217">
        <v>0.01</v>
      </c>
      <c r="I47" s="12">
        <f>TRUNC(I40*H47,2)</f>
        <v>16.61</v>
      </c>
    </row>
    <row r="48" spans="1:16" ht="13.8">
      <c r="A48" s="123" t="s">
        <v>29</v>
      </c>
      <c r="B48" s="110" t="s">
        <v>85</v>
      </c>
      <c r="C48" s="69"/>
      <c r="D48" s="69"/>
      <c r="E48" s="69"/>
      <c r="F48" s="69"/>
      <c r="G48" s="70"/>
      <c r="H48" s="217">
        <v>6.0000000000000001E-3</v>
      </c>
      <c r="I48" s="12">
        <f>TRUNC(I40*H48,2)</f>
        <v>9.9700000000000006</v>
      </c>
      <c r="K48" s="91"/>
      <c r="L48" s="91"/>
      <c r="M48" s="91"/>
      <c r="O48" s="91"/>
      <c r="P48" s="131"/>
    </row>
    <row r="49" spans="1:12" ht="13.8">
      <c r="A49" s="123" t="s">
        <v>86</v>
      </c>
      <c r="B49" s="110" t="s">
        <v>87</v>
      </c>
      <c r="C49" s="69"/>
      <c r="D49" s="69"/>
      <c r="E49" s="69"/>
      <c r="F49" s="69"/>
      <c r="G49" s="70"/>
      <c r="H49" s="217">
        <v>2E-3</v>
      </c>
      <c r="I49" s="12">
        <f>TRUNC(I40*H49,2)</f>
        <v>3.32</v>
      </c>
    </row>
    <row r="50" spans="1:12" ht="13.8">
      <c r="A50" s="132" t="s">
        <v>88</v>
      </c>
      <c r="B50" s="68" t="s">
        <v>89</v>
      </c>
      <c r="C50" s="69"/>
      <c r="D50" s="69"/>
      <c r="E50" s="69"/>
      <c r="F50" s="69"/>
      <c r="G50" s="70"/>
      <c r="H50" s="217">
        <v>0.08</v>
      </c>
      <c r="I50" s="133">
        <f>TRUNC(I40*H50,2)</f>
        <v>132.94999999999999</v>
      </c>
    </row>
    <row r="51" spans="1:12">
      <c r="A51" s="134" t="s">
        <v>32</v>
      </c>
      <c r="B51" s="135"/>
      <c r="C51" s="135"/>
      <c r="D51" s="135"/>
      <c r="E51" s="135"/>
      <c r="F51" s="135"/>
      <c r="G51" s="136"/>
      <c r="H51" s="113">
        <f>SUM(H43:H49,H50)</f>
        <v>0.35300000000000004</v>
      </c>
      <c r="I51" s="21">
        <f>SUM(I43:I50)</f>
        <v>586.62000000000012</v>
      </c>
    </row>
    <row r="52" spans="1:12" ht="76.5" customHeight="1">
      <c r="A52" s="114" t="s">
        <v>90</v>
      </c>
      <c r="B52" s="115"/>
      <c r="C52" s="115"/>
      <c r="D52" s="115"/>
      <c r="E52" s="115"/>
      <c r="F52" s="115"/>
      <c r="G52" s="115"/>
      <c r="H52" s="115"/>
      <c r="I52" s="116"/>
    </row>
    <row r="53" spans="1:12">
      <c r="A53" s="137" t="s">
        <v>91</v>
      </c>
      <c r="B53" s="36"/>
      <c r="C53" s="36"/>
      <c r="D53" s="36"/>
      <c r="E53" s="36"/>
      <c r="F53" s="36"/>
      <c r="G53" s="36"/>
      <c r="H53" s="36"/>
      <c r="I53" s="36"/>
    </row>
    <row r="54" spans="1:12">
      <c r="A54" s="138" t="s">
        <v>92</v>
      </c>
      <c r="B54" s="139" t="s">
        <v>93</v>
      </c>
      <c r="C54" s="140"/>
      <c r="D54" s="140"/>
      <c r="E54" s="140"/>
      <c r="F54" s="140"/>
      <c r="G54" s="140"/>
      <c r="H54" s="141"/>
      <c r="I54" s="142" t="s">
        <v>3</v>
      </c>
    </row>
    <row r="55" spans="1:12" ht="30.75" customHeight="1">
      <c r="A55" s="9" t="s">
        <v>4</v>
      </c>
      <c r="B55" s="143" t="s">
        <v>94</v>
      </c>
      <c r="C55" s="144"/>
      <c r="D55" s="144"/>
      <c r="E55" s="144"/>
      <c r="F55" s="144"/>
      <c r="G55" s="144"/>
      <c r="H55" s="145"/>
      <c r="I55" s="146">
        <f>I57-I58</f>
        <v>106.39999999999999</v>
      </c>
      <c r="J55" s="147"/>
    </row>
    <row r="56" spans="1:12" ht="12.75" customHeight="1">
      <c r="A56" s="9"/>
      <c r="B56" s="148" t="s">
        <v>95</v>
      </c>
      <c r="C56" s="149"/>
      <c r="D56" s="149"/>
      <c r="E56" s="149"/>
      <c r="F56" s="149"/>
      <c r="G56" s="150"/>
      <c r="H56" s="151">
        <f>'[1]BASE-Tarifas de Passagens'!F4</f>
        <v>4.3</v>
      </c>
      <c r="I56" s="40" t="s">
        <v>96</v>
      </c>
    </row>
    <row r="57" spans="1:12" ht="12.75" customHeight="1">
      <c r="A57" s="152"/>
      <c r="B57" s="148" t="s">
        <v>97</v>
      </c>
      <c r="C57" s="149"/>
      <c r="D57" s="149"/>
      <c r="E57" s="149"/>
      <c r="F57" s="149"/>
      <c r="G57" s="150"/>
      <c r="H57" s="153">
        <v>44</v>
      </c>
      <c r="I57" s="154">
        <f>H57*H56</f>
        <v>189.2</v>
      </c>
    </row>
    <row r="58" spans="1:12" ht="12.75" customHeight="1">
      <c r="A58" s="9"/>
      <c r="B58" s="148" t="s">
        <v>98</v>
      </c>
      <c r="C58" s="149"/>
      <c r="D58" s="149"/>
      <c r="E58" s="149"/>
      <c r="F58" s="149"/>
      <c r="G58" s="150"/>
      <c r="H58" s="155">
        <v>0.06</v>
      </c>
      <c r="I58" s="40">
        <f>H58*I30</f>
        <v>82.8</v>
      </c>
    </row>
    <row r="59" spans="1:12" ht="30.75" customHeight="1">
      <c r="A59" s="9" t="s">
        <v>6</v>
      </c>
      <c r="B59" s="156" t="s">
        <v>99</v>
      </c>
      <c r="C59" s="10"/>
      <c r="D59" s="10"/>
      <c r="E59" s="10"/>
      <c r="F59" s="10"/>
      <c r="G59" s="10"/>
      <c r="H59" s="67">
        <v>18.2</v>
      </c>
      <c r="I59" s="40">
        <f>L59</f>
        <v>356.35599999999999</v>
      </c>
      <c r="J59" s="228">
        <f>H59*22</f>
        <v>400.4</v>
      </c>
      <c r="K59" s="229">
        <f>J59*11%</f>
        <v>44.043999999999997</v>
      </c>
      <c r="L59" s="230">
        <f>J59-K59</f>
        <v>356.35599999999999</v>
      </c>
    </row>
    <row r="60" spans="1:12" ht="12.75" customHeight="1">
      <c r="A60" s="9" t="s">
        <v>8</v>
      </c>
      <c r="B60" s="156" t="s">
        <v>100</v>
      </c>
      <c r="C60" s="10"/>
      <c r="D60" s="10"/>
      <c r="E60" s="10"/>
      <c r="F60" s="10"/>
      <c r="G60" s="10"/>
      <c r="H60" s="100"/>
      <c r="I60" s="40">
        <v>16</v>
      </c>
      <c r="J60" s="157"/>
    </row>
    <row r="61" spans="1:12" ht="12.75" customHeight="1">
      <c r="A61" s="9" t="s">
        <v>12</v>
      </c>
      <c r="B61" s="156" t="s">
        <v>101</v>
      </c>
      <c r="C61" s="10"/>
      <c r="D61" s="10"/>
      <c r="E61" s="10"/>
      <c r="F61" s="10"/>
      <c r="G61" s="10"/>
      <c r="H61" s="100"/>
      <c r="I61" s="146">
        <v>2.54</v>
      </c>
    </row>
    <row r="62" spans="1:12" ht="12.75" customHeight="1">
      <c r="A62" s="9" t="s">
        <v>29</v>
      </c>
      <c r="B62" s="110" t="s">
        <v>137</v>
      </c>
      <c r="C62" s="231"/>
      <c r="D62" s="231"/>
      <c r="E62" s="231"/>
      <c r="F62" s="231"/>
      <c r="G62" s="231"/>
      <c r="H62" s="100"/>
      <c r="I62" s="146">
        <v>3.5</v>
      </c>
    </row>
    <row r="63" spans="1:12">
      <c r="A63" s="158"/>
      <c r="B63" s="18" t="s">
        <v>32</v>
      </c>
      <c r="C63" s="19"/>
      <c r="D63" s="19"/>
      <c r="E63" s="19"/>
      <c r="F63" s="19"/>
      <c r="G63" s="19"/>
      <c r="H63" s="20"/>
      <c r="I63" s="21">
        <f>SUM(I55,I59,I60,I61,I62)</f>
        <v>484.79599999999999</v>
      </c>
    </row>
    <row r="64" spans="1:12" ht="54.75" customHeight="1">
      <c r="A64" s="159" t="s">
        <v>102</v>
      </c>
      <c r="B64" s="160"/>
      <c r="C64" s="160"/>
      <c r="D64" s="160"/>
      <c r="E64" s="160"/>
      <c r="F64" s="160"/>
      <c r="G64" s="160"/>
      <c r="H64" s="160"/>
      <c r="I64" s="161"/>
    </row>
    <row r="65" spans="1:9">
      <c r="A65" s="1" t="s">
        <v>103</v>
      </c>
      <c r="B65" s="2"/>
      <c r="C65" s="2"/>
      <c r="D65" s="2"/>
      <c r="E65" s="2"/>
      <c r="F65" s="2"/>
      <c r="G65" s="2"/>
      <c r="H65" s="2"/>
      <c r="I65" s="3"/>
    </row>
    <row r="66" spans="1:9">
      <c r="A66" s="162">
        <v>2</v>
      </c>
      <c r="B66" s="163" t="s">
        <v>104</v>
      </c>
      <c r="C66" s="164"/>
      <c r="D66" s="164"/>
      <c r="E66" s="164"/>
      <c r="F66" s="164"/>
      <c r="G66" s="164"/>
      <c r="H66" s="165"/>
      <c r="I66" s="166" t="s">
        <v>3</v>
      </c>
    </row>
    <row r="67" spans="1:9">
      <c r="A67" s="9" t="s">
        <v>70</v>
      </c>
      <c r="B67" s="68" t="s">
        <v>71</v>
      </c>
      <c r="C67" s="69"/>
      <c r="D67" s="69"/>
      <c r="E67" s="69"/>
      <c r="F67" s="69"/>
      <c r="G67" s="69"/>
      <c r="H67" s="70"/>
      <c r="I67" s="40">
        <f>I36</f>
        <v>281.98</v>
      </c>
    </row>
    <row r="68" spans="1:9">
      <c r="A68" s="9" t="s">
        <v>78</v>
      </c>
      <c r="B68" s="68" t="s">
        <v>79</v>
      </c>
      <c r="C68" s="69"/>
      <c r="D68" s="69"/>
      <c r="E68" s="69"/>
      <c r="F68" s="69"/>
      <c r="G68" s="69"/>
      <c r="H68" s="70"/>
      <c r="I68" s="40">
        <f>I51</f>
        <v>586.62000000000012</v>
      </c>
    </row>
    <row r="69" spans="1:9">
      <c r="A69" s="9" t="s">
        <v>92</v>
      </c>
      <c r="B69" s="68" t="s">
        <v>93</v>
      </c>
      <c r="C69" s="69"/>
      <c r="D69" s="69"/>
      <c r="E69" s="69"/>
      <c r="F69" s="69"/>
      <c r="G69" s="69"/>
      <c r="H69" s="70"/>
      <c r="I69" s="40">
        <f>I63</f>
        <v>484.79599999999999</v>
      </c>
    </row>
    <row r="70" spans="1:9">
      <c r="A70" s="18" t="s">
        <v>14</v>
      </c>
      <c r="B70" s="19"/>
      <c r="C70" s="19"/>
      <c r="D70" s="19"/>
      <c r="E70" s="19"/>
      <c r="F70" s="19"/>
      <c r="G70" s="19"/>
      <c r="H70" s="20"/>
      <c r="I70" s="21">
        <f>SUM(I67:I69)</f>
        <v>1353.3960000000002</v>
      </c>
    </row>
    <row r="71" spans="1:9">
      <c r="A71" s="75"/>
      <c r="B71" s="76"/>
      <c r="C71" s="76"/>
      <c r="D71" s="76"/>
      <c r="E71" s="76"/>
      <c r="F71" s="76"/>
      <c r="G71" s="76"/>
      <c r="H71" s="76"/>
      <c r="I71" s="77"/>
    </row>
    <row r="72" spans="1:9">
      <c r="A72" s="1" t="s">
        <v>0</v>
      </c>
      <c r="B72" s="2"/>
      <c r="C72" s="2"/>
      <c r="D72" s="2"/>
      <c r="E72" s="2"/>
      <c r="F72" s="2"/>
      <c r="G72" s="2"/>
      <c r="H72" s="2"/>
      <c r="I72" s="3"/>
    </row>
    <row r="73" spans="1:9" ht="26.4">
      <c r="A73" s="4">
        <v>3</v>
      </c>
      <c r="B73" s="5" t="s">
        <v>1</v>
      </c>
      <c r="C73" s="6"/>
      <c r="D73" s="6"/>
      <c r="E73" s="6"/>
      <c r="F73" s="6"/>
      <c r="G73" s="7"/>
      <c r="H73" s="4" t="s">
        <v>2</v>
      </c>
      <c r="I73" s="8" t="s">
        <v>3</v>
      </c>
    </row>
    <row r="74" spans="1:9" ht="12.75" customHeight="1">
      <c r="A74" s="9" t="s">
        <v>4</v>
      </c>
      <c r="B74" s="10" t="s">
        <v>5</v>
      </c>
      <c r="C74" s="10"/>
      <c r="D74" s="10"/>
      <c r="E74" s="10"/>
      <c r="F74" s="10"/>
      <c r="G74" s="10"/>
      <c r="H74" s="11">
        <v>4.5999999999999999E-3</v>
      </c>
      <c r="I74" s="12">
        <f>($I$30*H74)</f>
        <v>6.3479999999999999</v>
      </c>
    </row>
    <row r="75" spans="1:9" ht="12.75" customHeight="1">
      <c r="A75" s="13" t="s">
        <v>6</v>
      </c>
      <c r="B75" s="14" t="s">
        <v>7</v>
      </c>
      <c r="C75" s="14"/>
      <c r="D75" s="14"/>
      <c r="E75" s="14"/>
      <c r="F75" s="14"/>
      <c r="G75" s="14"/>
      <c r="H75" s="15">
        <v>4.0000000000000002E-4</v>
      </c>
      <c r="I75" s="12">
        <f t="shared" ref="I75:I76" si="0">($I$30*H75)</f>
        <v>0.55200000000000005</v>
      </c>
    </row>
    <row r="76" spans="1:9" ht="31.5" customHeight="1">
      <c r="A76" s="9" t="s">
        <v>8</v>
      </c>
      <c r="B76" s="16" t="s">
        <v>9</v>
      </c>
      <c r="C76" s="10"/>
      <c r="D76" s="10"/>
      <c r="E76" s="10"/>
      <c r="F76" s="10"/>
      <c r="G76" s="10"/>
      <c r="H76" s="17">
        <v>1.9400000000000001E-2</v>
      </c>
      <c r="I76" s="12">
        <f t="shared" si="0"/>
        <v>26.772000000000002</v>
      </c>
    </row>
    <row r="77" spans="1:9" ht="31.5" customHeight="1">
      <c r="A77" s="13" t="s">
        <v>10</v>
      </c>
      <c r="B77" s="10" t="s">
        <v>11</v>
      </c>
      <c r="C77" s="10"/>
      <c r="D77" s="10"/>
      <c r="E77" s="10"/>
      <c r="F77" s="10"/>
      <c r="G77" s="10"/>
      <c r="H77" s="11">
        <v>7.1000000000000004E-3</v>
      </c>
      <c r="I77" s="12">
        <f>($I$30*H77)</f>
        <v>9.798</v>
      </c>
    </row>
    <row r="78" spans="1:9" ht="54" customHeight="1">
      <c r="A78" s="9" t="s">
        <v>12</v>
      </c>
      <c r="B78" s="10" t="s">
        <v>13</v>
      </c>
      <c r="C78" s="10"/>
      <c r="D78" s="10"/>
      <c r="E78" s="10"/>
      <c r="F78" s="10"/>
      <c r="G78" s="10"/>
      <c r="H78" s="11">
        <v>0.04</v>
      </c>
      <c r="I78" s="12">
        <f>($I$30*H78)</f>
        <v>55.2</v>
      </c>
    </row>
    <row r="79" spans="1:9">
      <c r="A79" s="123" t="s">
        <v>29</v>
      </c>
      <c r="B79" s="16" t="s">
        <v>383</v>
      </c>
      <c r="C79" s="10"/>
      <c r="D79" s="10"/>
      <c r="E79" s="10"/>
      <c r="F79" s="10"/>
      <c r="G79" s="10"/>
      <c r="H79" s="11">
        <v>1.5800000000000002E-2</v>
      </c>
      <c r="I79" s="12">
        <f>($I$36*H79)</f>
        <v>4.4552840000000007</v>
      </c>
    </row>
    <row r="80" spans="1:9">
      <c r="A80" s="18" t="s">
        <v>14</v>
      </c>
      <c r="B80" s="19"/>
      <c r="C80" s="19"/>
      <c r="D80" s="19"/>
      <c r="E80" s="19"/>
      <c r="F80" s="19"/>
      <c r="G80" s="19"/>
      <c r="H80" s="20"/>
      <c r="I80" s="21">
        <f>SUM(I74:I79)</f>
        <v>103.12528400000002</v>
      </c>
    </row>
    <row r="81" spans="1:12">
      <c r="A81" s="22" t="s">
        <v>15</v>
      </c>
      <c r="B81" s="23"/>
      <c r="C81" s="23"/>
      <c r="D81" s="23"/>
      <c r="E81" s="23"/>
      <c r="F81" s="23"/>
      <c r="G81" s="23"/>
      <c r="H81" s="24" t="s">
        <v>16</v>
      </c>
      <c r="I81" s="25">
        <f>I30</f>
        <v>1380</v>
      </c>
    </row>
    <row r="82" spans="1:12" ht="69" customHeight="1">
      <c r="A82" s="23"/>
      <c r="B82" s="23"/>
      <c r="C82" s="23"/>
      <c r="D82" s="23"/>
      <c r="E82" s="23"/>
      <c r="F82" s="23"/>
      <c r="G82" s="23"/>
      <c r="H82" s="26" t="s">
        <v>17</v>
      </c>
      <c r="I82" s="25">
        <f>I36+I51+I60+I61</f>
        <v>887.1400000000001</v>
      </c>
    </row>
    <row r="83" spans="1:12">
      <c r="A83" s="23"/>
      <c r="B83" s="23"/>
      <c r="C83" s="23"/>
      <c r="D83" s="23"/>
      <c r="E83" s="23"/>
      <c r="F83" s="23"/>
      <c r="G83" s="23"/>
      <c r="H83" s="24" t="s">
        <v>18</v>
      </c>
      <c r="I83" s="25">
        <f>I80</f>
        <v>103.12528400000002</v>
      </c>
    </row>
    <row r="84" spans="1:12">
      <c r="A84" s="23"/>
      <c r="B84" s="23"/>
      <c r="C84" s="23"/>
      <c r="D84" s="23"/>
      <c r="E84" s="23"/>
      <c r="F84" s="23"/>
      <c r="G84" s="23"/>
      <c r="H84" s="27" t="s">
        <v>14</v>
      </c>
      <c r="I84" s="28">
        <f>SUM(I81:I83)</f>
        <v>2370.2652840000005</v>
      </c>
    </row>
    <row r="85" spans="1:12">
      <c r="A85" s="29" t="s">
        <v>19</v>
      </c>
      <c r="B85" s="30"/>
      <c r="C85" s="30"/>
      <c r="D85" s="30"/>
      <c r="E85" s="30"/>
      <c r="F85" s="30"/>
      <c r="G85" s="30"/>
      <c r="H85" s="30"/>
      <c r="I85" s="31"/>
    </row>
    <row r="86" spans="1:12" ht="60.75" customHeight="1">
      <c r="A86" s="32" t="s">
        <v>20</v>
      </c>
      <c r="B86" s="33"/>
      <c r="C86" s="33"/>
      <c r="D86" s="33"/>
      <c r="E86" s="33"/>
      <c r="F86" s="33"/>
      <c r="G86" s="33"/>
      <c r="H86" s="33"/>
      <c r="I86" s="34"/>
    </row>
    <row r="87" spans="1:12">
      <c r="A87" s="35" t="s">
        <v>21</v>
      </c>
      <c r="B87" s="36" t="s">
        <v>22</v>
      </c>
      <c r="C87" s="36"/>
      <c r="D87" s="36"/>
      <c r="E87" s="36"/>
      <c r="F87" s="36"/>
      <c r="G87" s="36"/>
      <c r="H87" s="4" t="s">
        <v>23</v>
      </c>
      <c r="I87" s="37" t="s">
        <v>3</v>
      </c>
    </row>
    <row r="88" spans="1:12" ht="25.5" customHeight="1">
      <c r="A88" s="9" t="s">
        <v>4</v>
      </c>
      <c r="B88" s="38" t="s">
        <v>24</v>
      </c>
      <c r="C88" s="38"/>
      <c r="D88" s="38"/>
      <c r="E88" s="38"/>
      <c r="F88" s="38"/>
      <c r="G88" s="38"/>
      <c r="H88" s="39">
        <v>9.0749999999999997E-2</v>
      </c>
      <c r="I88" s="40">
        <f>H88*$I$84</f>
        <v>215.10157452300004</v>
      </c>
      <c r="K88" s="167"/>
      <c r="L88" s="91"/>
    </row>
    <row r="89" spans="1:12" ht="39.75" customHeight="1">
      <c r="A89" s="9" t="s">
        <v>6</v>
      </c>
      <c r="B89" s="38" t="s">
        <v>25</v>
      </c>
      <c r="C89" s="38"/>
      <c r="D89" s="38"/>
      <c r="E89" s="38"/>
      <c r="F89" s="38"/>
      <c r="G89" s="38"/>
      <c r="H89" s="15">
        <v>1.6299999999999999E-2</v>
      </c>
      <c r="I89" s="40">
        <f t="shared" ref="I89:I91" si="1">H89*$I$84</f>
        <v>38.635324129200008</v>
      </c>
    </row>
    <row r="90" spans="1:12" ht="35.25" customHeight="1">
      <c r="A90" s="9" t="s">
        <v>8</v>
      </c>
      <c r="B90" s="38" t="s">
        <v>26</v>
      </c>
      <c r="C90" s="38"/>
      <c r="D90" s="38"/>
      <c r="E90" s="38"/>
      <c r="F90" s="38"/>
      <c r="G90" s="38"/>
      <c r="H90" s="11">
        <v>2.0000000000000001E-4</v>
      </c>
      <c r="I90" s="40">
        <f t="shared" si="1"/>
        <v>0.47405305680000015</v>
      </c>
    </row>
    <row r="91" spans="1:12" ht="50.25" customHeight="1">
      <c r="A91" s="9" t="s">
        <v>10</v>
      </c>
      <c r="B91" s="38" t="s">
        <v>27</v>
      </c>
      <c r="C91" s="38"/>
      <c r="D91" s="38"/>
      <c r="E91" s="38"/>
      <c r="F91" s="38"/>
      <c r="G91" s="38"/>
      <c r="H91" s="15">
        <v>3.3E-3</v>
      </c>
      <c r="I91" s="40">
        <f t="shared" si="1"/>
        <v>7.8218754372000019</v>
      </c>
      <c r="K91" s="168"/>
    </row>
    <row r="92" spans="1:12" ht="45" customHeight="1">
      <c r="A92" s="9" t="s">
        <v>12</v>
      </c>
      <c r="B92" s="38" t="s">
        <v>28</v>
      </c>
      <c r="C92" s="38"/>
      <c r="D92" s="38"/>
      <c r="E92" s="38"/>
      <c r="F92" s="38"/>
      <c r="G92" s="38"/>
      <c r="H92" s="41">
        <v>5.5000000000000003E-4</v>
      </c>
      <c r="I92" s="40">
        <f>H92*$I$84</f>
        <v>1.3036459062000003</v>
      </c>
    </row>
    <row r="93" spans="1:12">
      <c r="A93" s="42" t="s">
        <v>29</v>
      </c>
      <c r="B93" s="14" t="s">
        <v>30</v>
      </c>
      <c r="C93" s="14"/>
      <c r="D93" s="14"/>
      <c r="E93" s="14"/>
      <c r="F93" s="14"/>
      <c r="G93" s="14"/>
      <c r="H93" s="15" t="s">
        <v>31</v>
      </c>
      <c r="I93" s="40"/>
    </row>
    <row r="94" spans="1:12">
      <c r="A94" s="18" t="s">
        <v>32</v>
      </c>
      <c r="B94" s="19"/>
      <c r="C94" s="19"/>
      <c r="D94" s="19"/>
      <c r="E94" s="19"/>
      <c r="F94" s="19"/>
      <c r="G94" s="19"/>
      <c r="H94" s="20"/>
      <c r="I94" s="43">
        <f>SUM(I88:I93)</f>
        <v>263.33647305240004</v>
      </c>
    </row>
    <row r="95" spans="1:12">
      <c r="A95" s="35" t="s">
        <v>33</v>
      </c>
      <c r="B95" s="44" t="s">
        <v>34</v>
      </c>
      <c r="C95" s="45"/>
      <c r="D95" s="45"/>
      <c r="E95" s="45"/>
      <c r="F95" s="45"/>
      <c r="G95" s="45"/>
      <c r="H95" s="46"/>
      <c r="I95" s="37" t="s">
        <v>3</v>
      </c>
    </row>
    <row r="96" spans="1:12">
      <c r="A96" s="9" t="s">
        <v>4</v>
      </c>
      <c r="B96" s="10" t="s">
        <v>35</v>
      </c>
      <c r="C96" s="10"/>
      <c r="D96" s="10"/>
      <c r="E96" s="10"/>
      <c r="F96" s="10"/>
      <c r="G96" s="10"/>
      <c r="H96" s="47"/>
      <c r="I96" s="48">
        <v>0</v>
      </c>
    </row>
    <row r="97" spans="1:9">
      <c r="A97" s="18" t="s">
        <v>32</v>
      </c>
      <c r="B97" s="19"/>
      <c r="C97" s="19"/>
      <c r="D97" s="19"/>
      <c r="E97" s="19"/>
      <c r="F97" s="19"/>
      <c r="G97" s="19"/>
      <c r="H97" s="20"/>
      <c r="I97" s="49">
        <f>SUM(I96:I96)</f>
        <v>0</v>
      </c>
    </row>
    <row r="98" spans="1:9">
      <c r="A98" s="1" t="s">
        <v>36</v>
      </c>
      <c r="B98" s="2"/>
      <c r="C98" s="2"/>
      <c r="D98" s="2"/>
      <c r="E98" s="2"/>
      <c r="F98" s="2"/>
      <c r="G98" s="2"/>
      <c r="H98" s="2"/>
      <c r="I98" s="3"/>
    </row>
    <row r="99" spans="1:9">
      <c r="A99" s="50">
        <v>4</v>
      </c>
      <c r="B99" s="5" t="s">
        <v>37</v>
      </c>
      <c r="C99" s="6"/>
      <c r="D99" s="6"/>
      <c r="E99" s="6"/>
      <c r="F99" s="6"/>
      <c r="G99" s="6"/>
      <c r="H99" s="7"/>
      <c r="I99" s="51" t="s">
        <v>3</v>
      </c>
    </row>
    <row r="100" spans="1:9">
      <c r="A100" s="9" t="s">
        <v>21</v>
      </c>
      <c r="B100" s="10" t="s">
        <v>22</v>
      </c>
      <c r="C100" s="10"/>
      <c r="D100" s="10"/>
      <c r="E100" s="10"/>
      <c r="F100" s="10"/>
      <c r="G100" s="10"/>
      <c r="H100" s="52"/>
      <c r="I100" s="40">
        <f>I94</f>
        <v>263.33647305240004</v>
      </c>
    </row>
    <row r="101" spans="1:9">
      <c r="A101" s="9" t="s">
        <v>33</v>
      </c>
      <c r="B101" s="10" t="s">
        <v>34</v>
      </c>
      <c r="C101" s="10"/>
      <c r="D101" s="10"/>
      <c r="E101" s="10"/>
      <c r="F101" s="10"/>
      <c r="G101" s="10"/>
      <c r="H101" s="52"/>
      <c r="I101" s="40">
        <f>I97</f>
        <v>0</v>
      </c>
    </row>
    <row r="102" spans="1:9">
      <c r="A102" s="18" t="s">
        <v>14</v>
      </c>
      <c r="B102" s="19"/>
      <c r="C102" s="19"/>
      <c r="D102" s="19"/>
      <c r="E102" s="19"/>
      <c r="F102" s="19"/>
      <c r="G102" s="19"/>
      <c r="H102" s="20"/>
      <c r="I102" s="21">
        <f>SUM(I100:I101)</f>
        <v>263.33647305240004</v>
      </c>
    </row>
    <row r="103" spans="1:9">
      <c r="A103" s="75"/>
      <c r="B103" s="76"/>
      <c r="C103" s="76"/>
      <c r="D103" s="76"/>
      <c r="E103" s="76"/>
      <c r="F103" s="76"/>
      <c r="G103" s="76"/>
      <c r="H103" s="76"/>
      <c r="I103" s="77"/>
    </row>
    <row r="104" spans="1:9">
      <c r="A104" s="29" t="s">
        <v>105</v>
      </c>
      <c r="B104" s="30"/>
      <c r="C104" s="30"/>
      <c r="D104" s="30"/>
      <c r="E104" s="30"/>
      <c r="F104" s="30"/>
      <c r="G104" s="30"/>
      <c r="H104" s="30"/>
      <c r="I104" s="31"/>
    </row>
    <row r="105" spans="1:9">
      <c r="A105" s="50">
        <v>5</v>
      </c>
      <c r="B105" s="5" t="s">
        <v>106</v>
      </c>
      <c r="C105" s="6"/>
      <c r="D105" s="6"/>
      <c r="E105" s="6"/>
      <c r="F105" s="6"/>
      <c r="G105" s="6"/>
      <c r="H105" s="7"/>
      <c r="I105" s="51" t="s">
        <v>3</v>
      </c>
    </row>
    <row r="106" spans="1:9">
      <c r="A106" s="9" t="s">
        <v>4</v>
      </c>
      <c r="B106" s="159" t="s">
        <v>107</v>
      </c>
      <c r="C106" s="169"/>
      <c r="D106" s="169"/>
      <c r="E106" s="169"/>
      <c r="F106" s="169"/>
      <c r="G106" s="169"/>
      <c r="H106" s="170"/>
      <c r="I106" s="171">
        <f>UNIFORMES!F9</f>
        <v>42.666666666666664</v>
      </c>
    </row>
    <row r="107" spans="1:9">
      <c r="A107" s="9" t="s">
        <v>6</v>
      </c>
      <c r="B107" s="159" t="s">
        <v>108</v>
      </c>
      <c r="C107" s="169"/>
      <c r="D107" s="169"/>
      <c r="E107" s="169"/>
      <c r="F107" s="169"/>
      <c r="G107" s="169"/>
      <c r="H107" s="170"/>
      <c r="I107" s="172">
        <f>'MATERIAL E EQUIPAMENTO'!G57</f>
        <v>311.60476190476186</v>
      </c>
    </row>
    <row r="108" spans="1:9">
      <c r="A108" s="9" t="s">
        <v>8</v>
      </c>
      <c r="B108" s="173" t="s">
        <v>109</v>
      </c>
      <c r="C108" s="160"/>
      <c r="D108" s="160"/>
      <c r="E108" s="160"/>
      <c r="F108" s="160"/>
      <c r="G108" s="160"/>
      <c r="H108" s="161"/>
      <c r="I108" s="172">
        <f>'MATERIAL E EQUIPAMENTO'!G78+'MATERIAL E EQUIPAMENTO'!G93</f>
        <v>42.886547619047619</v>
      </c>
    </row>
    <row r="109" spans="1:9">
      <c r="A109" s="18" t="s">
        <v>14</v>
      </c>
      <c r="B109" s="19"/>
      <c r="C109" s="19"/>
      <c r="D109" s="19"/>
      <c r="E109" s="19"/>
      <c r="F109" s="19"/>
      <c r="G109" s="19"/>
      <c r="H109" s="20"/>
      <c r="I109" s="174">
        <f>ROUND(SUM(I106:I108),2)</f>
        <v>397.16</v>
      </c>
    </row>
    <row r="110" spans="1:9">
      <c r="A110" s="175" t="s">
        <v>110</v>
      </c>
      <c r="B110" s="176"/>
      <c r="C110" s="176"/>
      <c r="D110" s="176"/>
      <c r="E110" s="176"/>
      <c r="F110" s="176"/>
      <c r="G110" s="177"/>
      <c r="H110" s="24" t="s">
        <v>16</v>
      </c>
      <c r="I110" s="178">
        <f>I30</f>
        <v>1380</v>
      </c>
    </row>
    <row r="111" spans="1:9">
      <c r="A111" s="179"/>
      <c r="B111" s="180"/>
      <c r="C111" s="180"/>
      <c r="D111" s="180"/>
      <c r="E111" s="180"/>
      <c r="F111" s="180"/>
      <c r="G111" s="181"/>
      <c r="H111" s="24" t="s">
        <v>111</v>
      </c>
      <c r="I111" s="178">
        <f>I70</f>
        <v>1353.3960000000002</v>
      </c>
    </row>
    <row r="112" spans="1:9">
      <c r="A112" s="179"/>
      <c r="B112" s="180"/>
      <c r="C112" s="180"/>
      <c r="D112" s="180"/>
      <c r="E112" s="180"/>
      <c r="F112" s="180"/>
      <c r="G112" s="181"/>
      <c r="H112" s="24" t="s">
        <v>18</v>
      </c>
      <c r="I112" s="178">
        <f>I80</f>
        <v>103.12528400000002</v>
      </c>
    </row>
    <row r="113" spans="1:11">
      <c r="A113" s="179"/>
      <c r="B113" s="180"/>
      <c r="C113" s="180"/>
      <c r="D113" s="180"/>
      <c r="E113" s="180"/>
      <c r="F113" s="180"/>
      <c r="G113" s="181"/>
      <c r="H113" s="24" t="s">
        <v>112</v>
      </c>
      <c r="I113" s="182">
        <f>I102</f>
        <v>263.33647305240004</v>
      </c>
    </row>
    <row r="114" spans="1:11">
      <c r="A114" s="179"/>
      <c r="B114" s="180"/>
      <c r="C114" s="180"/>
      <c r="D114" s="180"/>
      <c r="E114" s="180"/>
      <c r="F114" s="180"/>
      <c r="G114" s="181"/>
      <c r="H114" s="183" t="s">
        <v>113</v>
      </c>
      <c r="I114" s="184">
        <f>I109</f>
        <v>397.16</v>
      </c>
    </row>
    <row r="115" spans="1:11">
      <c r="A115" s="185"/>
      <c r="B115" s="186"/>
      <c r="C115" s="186"/>
      <c r="D115" s="186"/>
      <c r="E115" s="186"/>
      <c r="F115" s="186"/>
      <c r="G115" s="187"/>
      <c r="H115" s="183" t="s">
        <v>14</v>
      </c>
      <c r="I115" s="184">
        <f>SUM(I110:I114)</f>
        <v>3497.0177570524002</v>
      </c>
    </row>
    <row r="116" spans="1:11">
      <c r="A116" s="188" t="s">
        <v>114</v>
      </c>
      <c r="B116" s="188"/>
      <c r="C116" s="188"/>
      <c r="D116" s="188"/>
      <c r="E116" s="188"/>
      <c r="F116" s="188"/>
      <c r="G116" s="188"/>
      <c r="H116" s="188"/>
      <c r="I116" s="189"/>
    </row>
    <row r="117" spans="1:11">
      <c r="A117" s="50">
        <v>6</v>
      </c>
      <c r="B117" s="44" t="s">
        <v>115</v>
      </c>
      <c r="C117" s="45"/>
      <c r="D117" s="45"/>
      <c r="E117" s="45"/>
      <c r="F117" s="45"/>
      <c r="G117" s="46"/>
      <c r="H117" s="109" t="s">
        <v>60</v>
      </c>
      <c r="I117" s="51" t="s">
        <v>3</v>
      </c>
    </row>
    <row r="118" spans="1:11" ht="14.4">
      <c r="A118" s="9" t="s">
        <v>4</v>
      </c>
      <c r="B118" s="190" t="s">
        <v>116</v>
      </c>
      <c r="C118" s="144"/>
      <c r="D118" s="144"/>
      <c r="E118" s="144"/>
      <c r="F118" s="144"/>
      <c r="G118" s="145"/>
      <c r="H118" s="15">
        <v>0.03</v>
      </c>
      <c r="I118" s="12">
        <f>I115*H118</f>
        <v>104.910532711572</v>
      </c>
    </row>
    <row r="119" spans="1:11" ht="14.4">
      <c r="A119" s="9" t="s">
        <v>6</v>
      </c>
      <c r="B119" s="190" t="s">
        <v>117</v>
      </c>
      <c r="C119" s="144"/>
      <c r="D119" s="144"/>
      <c r="E119" s="144"/>
      <c r="F119" s="144"/>
      <c r="G119" s="145"/>
      <c r="H119" s="15">
        <v>3.4000000000000002E-2</v>
      </c>
      <c r="I119" s="12">
        <f>(I115+I118)*H119</f>
        <v>122.46556185197507</v>
      </c>
    </row>
    <row r="120" spans="1:11">
      <c r="A120" s="9" t="s">
        <v>8</v>
      </c>
      <c r="B120" s="143" t="s">
        <v>118</v>
      </c>
      <c r="C120" s="144"/>
      <c r="D120" s="144"/>
      <c r="E120" s="144"/>
      <c r="F120" s="144"/>
      <c r="G120" s="145"/>
      <c r="H120" s="191"/>
      <c r="I120" s="192"/>
    </row>
    <row r="121" spans="1:11">
      <c r="A121" s="193"/>
      <c r="B121" s="143" t="s">
        <v>119</v>
      </c>
      <c r="C121" s="144"/>
      <c r="D121" s="144"/>
      <c r="E121" s="144"/>
      <c r="F121" s="144"/>
      <c r="G121" s="145"/>
      <c r="H121" s="15" t="s">
        <v>96</v>
      </c>
      <c r="I121" s="12" t="s">
        <v>96</v>
      </c>
      <c r="K121" s="55">
        <f>'[1]PROPOSTA RESUMO'!H39</f>
        <v>566499.83999999997</v>
      </c>
    </row>
    <row r="122" spans="1:11">
      <c r="A122" s="193"/>
      <c r="B122" s="110" t="s">
        <v>120</v>
      </c>
      <c r="C122" s="69"/>
      <c r="D122" s="69"/>
      <c r="E122" s="69"/>
      <c r="F122" s="69"/>
      <c r="G122" s="70"/>
      <c r="H122" s="17">
        <v>6.4999999999999997E-3</v>
      </c>
      <c r="I122" s="12">
        <f>(I115+I118+I119)/(1-H127)*H122</f>
        <v>26.500886738372916</v>
      </c>
    </row>
    <row r="123" spans="1:11">
      <c r="A123" s="193"/>
      <c r="B123" s="194" t="s">
        <v>121</v>
      </c>
      <c r="C123" s="69"/>
      <c r="D123" s="69"/>
      <c r="E123" s="69"/>
      <c r="F123" s="69"/>
      <c r="G123" s="70"/>
      <c r="H123" s="17">
        <v>0.03</v>
      </c>
      <c r="I123" s="12">
        <f>(I115+I118+I119)/(1-H127)*H123</f>
        <v>122.31178494633653</v>
      </c>
    </row>
    <row r="124" spans="1:11">
      <c r="A124" s="193"/>
      <c r="B124" s="194" t="s">
        <v>122</v>
      </c>
      <c r="C124" s="195"/>
      <c r="D124" s="195"/>
      <c r="E124" s="195"/>
      <c r="F124" s="195"/>
      <c r="G124" s="196"/>
      <c r="H124" s="90"/>
      <c r="I124" s="12"/>
    </row>
    <row r="125" spans="1:11">
      <c r="A125" s="193"/>
      <c r="B125" s="194" t="s">
        <v>123</v>
      </c>
      <c r="C125" s="195"/>
      <c r="D125" s="195"/>
      <c r="E125" s="195"/>
      <c r="F125" s="195"/>
      <c r="G125" s="196"/>
      <c r="H125" s="90"/>
      <c r="I125" s="12"/>
    </row>
    <row r="126" spans="1:11">
      <c r="A126" s="193"/>
      <c r="B126" s="110" t="s">
        <v>124</v>
      </c>
      <c r="C126" s="69"/>
      <c r="D126" s="69"/>
      <c r="E126" s="69"/>
      <c r="F126" s="69"/>
      <c r="G126" s="70"/>
      <c r="H126" s="340">
        <f>'[1]BASE-Alíquotas ISS'!B2</f>
        <v>0.05</v>
      </c>
      <c r="I126" s="12">
        <f>(I115+I118+I119)/(1-H127)*H126</f>
        <v>203.8529749105609</v>
      </c>
    </row>
    <row r="127" spans="1:11" ht="14.25" customHeight="1">
      <c r="A127" s="73"/>
      <c r="B127" s="197"/>
      <c r="C127" s="197"/>
      <c r="D127" s="197"/>
      <c r="E127" s="197"/>
      <c r="F127" s="197"/>
      <c r="G127" s="74"/>
      <c r="H127" s="198">
        <f>SUM(H122:H126)</f>
        <v>8.6499999999999994E-2</v>
      </c>
      <c r="I127" s="12"/>
    </row>
    <row r="128" spans="1:11">
      <c r="A128" s="18" t="s">
        <v>14</v>
      </c>
      <c r="B128" s="19"/>
      <c r="C128" s="19"/>
      <c r="D128" s="19"/>
      <c r="E128" s="19"/>
      <c r="F128" s="19"/>
      <c r="G128" s="19"/>
      <c r="H128" s="199">
        <f>SUM(H118,H119,H127)</f>
        <v>0.15049999999999999</v>
      </c>
      <c r="I128" s="200">
        <f>SUM(I118:I126)</f>
        <v>580.04174115881744</v>
      </c>
    </row>
    <row r="129" spans="1:9" ht="40.5" customHeight="1">
      <c r="A129" s="194" t="s">
        <v>125</v>
      </c>
      <c r="B129" s="63"/>
      <c r="C129" s="63"/>
      <c r="D129" s="63"/>
      <c r="E129" s="63"/>
      <c r="F129" s="63"/>
      <c r="G129" s="63"/>
      <c r="H129" s="201"/>
      <c r="I129" s="64"/>
    </row>
    <row r="130" spans="1:9">
      <c r="A130" s="202"/>
      <c r="B130" s="203"/>
      <c r="C130" s="203"/>
      <c r="D130" s="203"/>
      <c r="E130" s="203"/>
      <c r="F130" s="203"/>
      <c r="G130" s="203"/>
      <c r="H130" s="203"/>
      <c r="I130" s="203"/>
    </row>
    <row r="131" spans="1:9">
      <c r="A131" s="204" t="s">
        <v>126</v>
      </c>
      <c r="B131" s="205"/>
      <c r="C131" s="205"/>
      <c r="D131" s="205"/>
      <c r="E131" s="205"/>
      <c r="F131" s="205"/>
      <c r="G131" s="205"/>
      <c r="H131" s="205"/>
      <c r="I131" s="206"/>
    </row>
    <row r="132" spans="1:9">
      <c r="A132" s="5" t="s">
        <v>127</v>
      </c>
      <c r="B132" s="6"/>
      <c r="C132" s="6"/>
      <c r="D132" s="6"/>
      <c r="E132" s="6"/>
      <c r="F132" s="6"/>
      <c r="G132" s="6"/>
      <c r="H132" s="7"/>
      <c r="I132" s="122" t="s">
        <v>3</v>
      </c>
    </row>
    <row r="133" spans="1:9">
      <c r="A133" s="207" t="s">
        <v>4</v>
      </c>
      <c r="B133" s="68" t="s">
        <v>128</v>
      </c>
      <c r="C133" s="69"/>
      <c r="D133" s="69"/>
      <c r="E133" s="69"/>
      <c r="F133" s="69"/>
      <c r="G133" s="69"/>
      <c r="H133" s="70"/>
      <c r="I133" s="146">
        <f>I30</f>
        <v>1380</v>
      </c>
    </row>
    <row r="134" spans="1:9">
      <c r="A134" s="207" t="s">
        <v>6</v>
      </c>
      <c r="B134" s="68" t="s">
        <v>104</v>
      </c>
      <c r="C134" s="69"/>
      <c r="D134" s="69"/>
      <c r="E134" s="69"/>
      <c r="F134" s="69"/>
      <c r="G134" s="69"/>
      <c r="H134" s="70"/>
      <c r="I134" s="146">
        <f>I70</f>
        <v>1353.3960000000002</v>
      </c>
    </row>
    <row r="135" spans="1:9">
      <c r="A135" s="207" t="s">
        <v>8</v>
      </c>
      <c r="B135" s="68" t="s">
        <v>129</v>
      </c>
      <c r="C135" s="69"/>
      <c r="D135" s="69"/>
      <c r="E135" s="69"/>
      <c r="F135" s="69"/>
      <c r="G135" s="69"/>
      <c r="H135" s="70"/>
      <c r="I135" s="146">
        <f>I80</f>
        <v>103.12528400000002</v>
      </c>
    </row>
    <row r="136" spans="1:9">
      <c r="A136" s="207" t="s">
        <v>10</v>
      </c>
      <c r="B136" s="68" t="s">
        <v>37</v>
      </c>
      <c r="C136" s="69"/>
      <c r="D136" s="69"/>
      <c r="E136" s="69"/>
      <c r="F136" s="69"/>
      <c r="G136" s="69"/>
      <c r="H136" s="70"/>
      <c r="I136" s="146">
        <f>I102</f>
        <v>263.33647305240004</v>
      </c>
    </row>
    <row r="137" spans="1:9">
      <c r="A137" s="207" t="s">
        <v>12</v>
      </c>
      <c r="B137" s="68" t="s">
        <v>130</v>
      </c>
      <c r="C137" s="69"/>
      <c r="D137" s="69"/>
      <c r="E137" s="69"/>
      <c r="F137" s="69"/>
      <c r="G137" s="69"/>
      <c r="H137" s="70"/>
      <c r="I137" s="146">
        <f>I109</f>
        <v>397.16</v>
      </c>
    </row>
    <row r="138" spans="1:9">
      <c r="A138" s="208" t="s">
        <v>131</v>
      </c>
      <c r="B138" s="209"/>
      <c r="C138" s="209"/>
      <c r="D138" s="209"/>
      <c r="E138" s="209"/>
      <c r="F138" s="209"/>
      <c r="G138" s="209"/>
      <c r="H138" s="210"/>
      <c r="I138" s="211">
        <f>SUM(I133:I137)</f>
        <v>3497.0177570524002</v>
      </c>
    </row>
    <row r="139" spans="1:9">
      <c r="A139" s="207" t="s">
        <v>29</v>
      </c>
      <c r="B139" s="68" t="s">
        <v>132</v>
      </c>
      <c r="C139" s="69"/>
      <c r="D139" s="69"/>
      <c r="E139" s="69"/>
      <c r="F139" s="69"/>
      <c r="G139" s="69"/>
      <c r="H139" s="70"/>
      <c r="I139" s="212">
        <f>I128</f>
        <v>580.04174115881744</v>
      </c>
    </row>
    <row r="140" spans="1:9">
      <c r="A140" s="208" t="s">
        <v>133</v>
      </c>
      <c r="B140" s="209"/>
      <c r="C140" s="209"/>
      <c r="D140" s="209"/>
      <c r="E140" s="209"/>
      <c r="F140" s="209"/>
      <c r="G140" s="209"/>
      <c r="H140" s="210"/>
      <c r="I140" s="213">
        <f>SUM(I138+I139)</f>
        <v>4077.0594982112175</v>
      </c>
    </row>
    <row r="141" spans="1:9">
      <c r="A141" s="214"/>
      <c r="B141" s="214"/>
      <c r="C141" s="214"/>
      <c r="D141" s="214"/>
      <c r="E141" s="214"/>
      <c r="F141" s="214"/>
      <c r="G141" s="214"/>
      <c r="H141" s="214"/>
      <c r="I141" s="215"/>
    </row>
  </sheetData>
  <mergeCells count="139">
    <mergeCell ref="B62:G62"/>
    <mergeCell ref="K9:L9"/>
    <mergeCell ref="B79:G79"/>
    <mergeCell ref="B139:H139"/>
    <mergeCell ref="A140:H140"/>
    <mergeCell ref="B133:H133"/>
    <mergeCell ref="B134:H134"/>
    <mergeCell ref="B135:H135"/>
    <mergeCell ref="B136:H136"/>
    <mergeCell ref="B137:H137"/>
    <mergeCell ref="A138:H138"/>
    <mergeCell ref="A127:G127"/>
    <mergeCell ref="A128:G128"/>
    <mergeCell ref="A129:I129"/>
    <mergeCell ref="A130:I130"/>
    <mergeCell ref="A131:I131"/>
    <mergeCell ref="A132:H132"/>
    <mergeCell ref="B121:G121"/>
    <mergeCell ref="B122:G122"/>
    <mergeCell ref="B123:G123"/>
    <mergeCell ref="B124:G124"/>
    <mergeCell ref="B125:G125"/>
    <mergeCell ref="B126:G126"/>
    <mergeCell ref="A110:G115"/>
    <mergeCell ref="A116:I116"/>
    <mergeCell ref="B117:G117"/>
    <mergeCell ref="B118:G118"/>
    <mergeCell ref="B119:G119"/>
    <mergeCell ref="B120:G120"/>
    <mergeCell ref="A104:I104"/>
    <mergeCell ref="B105:H105"/>
    <mergeCell ref="B106:H106"/>
    <mergeCell ref="B107:H107"/>
    <mergeCell ref="B108:H108"/>
    <mergeCell ref="A109:H109"/>
    <mergeCell ref="A98:I98"/>
    <mergeCell ref="B99:H99"/>
    <mergeCell ref="B100:G100"/>
    <mergeCell ref="B101:G101"/>
    <mergeCell ref="A102:H102"/>
    <mergeCell ref="A103:I103"/>
    <mergeCell ref="B92:G92"/>
    <mergeCell ref="B93:G93"/>
    <mergeCell ref="A94:H94"/>
    <mergeCell ref="B95:H95"/>
    <mergeCell ref="B96:G96"/>
    <mergeCell ref="A97:H97"/>
    <mergeCell ref="A86:I86"/>
    <mergeCell ref="B87:G87"/>
    <mergeCell ref="B88:G88"/>
    <mergeCell ref="B89:G89"/>
    <mergeCell ref="B90:G90"/>
    <mergeCell ref="B91:G91"/>
    <mergeCell ref="B76:G76"/>
    <mergeCell ref="B77:G77"/>
    <mergeCell ref="B78:G78"/>
    <mergeCell ref="A80:H80"/>
    <mergeCell ref="A81:G84"/>
    <mergeCell ref="A85:I85"/>
    <mergeCell ref="A70:H70"/>
    <mergeCell ref="A71:I71"/>
    <mergeCell ref="A72:I72"/>
    <mergeCell ref="B73:G73"/>
    <mergeCell ref="B74:G74"/>
    <mergeCell ref="B75:G75"/>
    <mergeCell ref="A64:I64"/>
    <mergeCell ref="A65:I65"/>
    <mergeCell ref="B66:H66"/>
    <mergeCell ref="B67:H67"/>
    <mergeCell ref="B68:H68"/>
    <mergeCell ref="B69:H69"/>
    <mergeCell ref="B57:G57"/>
    <mergeCell ref="B58:G58"/>
    <mergeCell ref="B59:G59"/>
    <mergeCell ref="B60:G60"/>
    <mergeCell ref="B61:G61"/>
    <mergeCell ref="B63:H63"/>
    <mergeCell ref="A51:G51"/>
    <mergeCell ref="A52:I52"/>
    <mergeCell ref="A53:I53"/>
    <mergeCell ref="B54:H54"/>
    <mergeCell ref="B55:H55"/>
    <mergeCell ref="B56:G56"/>
    <mergeCell ref="B45:C45"/>
    <mergeCell ref="B46:G46"/>
    <mergeCell ref="B47:G47"/>
    <mergeCell ref="B48:G48"/>
    <mergeCell ref="B49:G49"/>
    <mergeCell ref="B50:G50"/>
    <mergeCell ref="A37:I37"/>
    <mergeCell ref="A38:G40"/>
    <mergeCell ref="A41:I41"/>
    <mergeCell ref="B42:G42"/>
    <mergeCell ref="B43:G43"/>
    <mergeCell ref="B44:G44"/>
    <mergeCell ref="A31:I31"/>
    <mergeCell ref="A32:I32"/>
    <mergeCell ref="B33:G33"/>
    <mergeCell ref="B34:G34"/>
    <mergeCell ref="B35:G35"/>
    <mergeCell ref="A36:G36"/>
    <mergeCell ref="H19:I19"/>
    <mergeCell ref="A20:I20"/>
    <mergeCell ref="A21:I21"/>
    <mergeCell ref="B22:G22"/>
    <mergeCell ref="B25:G25"/>
    <mergeCell ref="B26:G26"/>
    <mergeCell ref="A11:I11"/>
    <mergeCell ref="A12:I12"/>
    <mergeCell ref="H15:I15"/>
    <mergeCell ref="H16:I16"/>
    <mergeCell ref="H17:I17"/>
    <mergeCell ref="H18:I18"/>
    <mergeCell ref="B28:G28"/>
    <mergeCell ref="B29:G29"/>
    <mergeCell ref="A30:H30"/>
    <mergeCell ref="A2:I2"/>
    <mergeCell ref="A3:I3"/>
    <mergeCell ref="A5:I5"/>
    <mergeCell ref="A6:I6"/>
    <mergeCell ref="H7:I7"/>
    <mergeCell ref="B8:G8"/>
    <mergeCell ref="H8:I8"/>
    <mergeCell ref="B23:H23"/>
    <mergeCell ref="B24:G24"/>
    <mergeCell ref="B27:G27"/>
    <mergeCell ref="B16:G16"/>
    <mergeCell ref="B17:G17"/>
    <mergeCell ref="B18:G18"/>
    <mergeCell ref="B19:G19"/>
    <mergeCell ref="B7:G7"/>
    <mergeCell ref="A13:I13"/>
    <mergeCell ref="A14:I14"/>
    <mergeCell ref="B15:G15"/>
    <mergeCell ref="B9:G9"/>
    <mergeCell ref="H9:I9"/>
    <mergeCell ref="B10:G10"/>
    <mergeCell ref="H10:I10"/>
    <mergeCell ref="A1:I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1"/>
  <sheetViews>
    <sheetView topLeftCell="A7" workbookViewId="0">
      <selection activeCell="H16" sqref="H16:I16"/>
    </sheetView>
  </sheetViews>
  <sheetFormatPr defaultColWidth="9.109375" defaultRowHeight="13.2"/>
  <cols>
    <col min="1" max="2" width="13.6640625" style="55" customWidth="1"/>
    <col min="3" max="3" width="16.6640625" style="55" customWidth="1"/>
    <col min="4" max="4" width="14.6640625" style="55" customWidth="1"/>
    <col min="5" max="5" width="12.44140625" style="55" customWidth="1"/>
    <col min="6" max="6" width="13.109375" style="55" bestFit="1" customWidth="1"/>
    <col min="7" max="7" width="12.33203125" style="55" customWidth="1"/>
    <col min="8" max="8" width="20.44140625" style="55" customWidth="1"/>
    <col min="9" max="9" width="23.88671875" style="55" customWidth="1"/>
    <col min="10" max="10" width="9.109375" style="55"/>
    <col min="11" max="11" width="11" style="55" bestFit="1" customWidth="1"/>
    <col min="12" max="12" width="9.44140625" style="55" bestFit="1" customWidth="1"/>
    <col min="13" max="13" width="11" style="55" bestFit="1" customWidth="1"/>
    <col min="14" max="14" width="9.109375" style="55"/>
    <col min="15" max="15" width="11.109375" style="55" customWidth="1"/>
    <col min="16" max="18" width="9.109375" style="55"/>
    <col min="19" max="19" width="9.44140625" style="55" bestFit="1" customWidth="1"/>
    <col min="20" max="16384" width="9.109375" style="55"/>
  </cols>
  <sheetData>
    <row r="1" spans="1:12" ht="61.5" customHeight="1">
      <c r="A1" s="53" t="s">
        <v>38</v>
      </c>
      <c r="B1" s="54"/>
      <c r="C1" s="54"/>
      <c r="D1" s="54"/>
      <c r="E1" s="54"/>
      <c r="F1" s="54"/>
      <c r="G1" s="54"/>
      <c r="H1" s="54"/>
      <c r="I1" s="54"/>
    </row>
    <row r="2" spans="1:12" ht="12.75" customHeight="1">
      <c r="A2" s="10" t="s">
        <v>381</v>
      </c>
      <c r="B2" s="10"/>
      <c r="C2" s="10"/>
      <c r="D2" s="10"/>
      <c r="E2" s="10"/>
      <c r="F2" s="10"/>
      <c r="G2" s="10"/>
      <c r="H2" s="10"/>
      <c r="I2" s="10"/>
    </row>
    <row r="3" spans="1:12" ht="12.75" customHeight="1">
      <c r="A3" s="10" t="s">
        <v>382</v>
      </c>
      <c r="B3" s="10"/>
      <c r="C3" s="10"/>
      <c r="D3" s="10"/>
      <c r="E3" s="10"/>
      <c r="F3" s="10"/>
      <c r="G3" s="10"/>
      <c r="H3" s="10"/>
      <c r="I3" s="10"/>
    </row>
    <row r="4" spans="1:12" ht="12.75" customHeight="1">
      <c r="A4" s="56"/>
      <c r="B4" s="56"/>
      <c r="C4" s="56"/>
      <c r="D4" s="56"/>
      <c r="E4" s="56"/>
      <c r="F4" s="56"/>
      <c r="G4" s="56"/>
      <c r="H4" s="56"/>
      <c r="I4" s="56"/>
    </row>
    <row r="5" spans="1:12" ht="12.75" customHeight="1">
      <c r="A5" s="57"/>
      <c r="B5" s="57"/>
      <c r="C5" s="57"/>
      <c r="D5" s="57"/>
      <c r="E5" s="57"/>
      <c r="F5" s="57"/>
      <c r="G5" s="57"/>
      <c r="H5" s="57"/>
      <c r="I5" s="57"/>
    </row>
    <row r="6" spans="1:12" ht="21" customHeight="1">
      <c r="A6" s="58" t="s">
        <v>39</v>
      </c>
      <c r="B6" s="59"/>
      <c r="C6" s="59"/>
      <c r="D6" s="59"/>
      <c r="E6" s="59"/>
      <c r="F6" s="59"/>
      <c r="G6" s="59"/>
      <c r="H6" s="59"/>
      <c r="I6" s="60"/>
    </row>
    <row r="7" spans="1:12">
      <c r="A7" s="61" t="s">
        <v>4</v>
      </c>
      <c r="B7" s="62" t="s">
        <v>40</v>
      </c>
      <c r="C7" s="63"/>
      <c r="D7" s="63"/>
      <c r="E7" s="63"/>
      <c r="F7" s="63"/>
      <c r="G7" s="64"/>
      <c r="H7" s="65" t="s">
        <v>41</v>
      </c>
      <c r="I7" s="66"/>
    </row>
    <row r="8" spans="1:12">
      <c r="A8" s="67" t="s">
        <v>6</v>
      </c>
      <c r="B8" s="68" t="s">
        <v>42</v>
      </c>
      <c r="C8" s="69"/>
      <c r="D8" s="69"/>
      <c r="E8" s="69"/>
      <c r="F8" s="69"/>
      <c r="G8" s="70"/>
      <c r="H8" s="71" t="s">
        <v>43</v>
      </c>
      <c r="I8" s="72"/>
    </row>
    <row r="9" spans="1:12" ht="37.5" customHeight="1">
      <c r="A9" s="67" t="s">
        <v>8</v>
      </c>
      <c r="B9" s="68" t="s">
        <v>44</v>
      </c>
      <c r="C9" s="69"/>
      <c r="D9" s="69"/>
      <c r="E9" s="69"/>
      <c r="F9" s="69"/>
      <c r="G9" s="70"/>
      <c r="H9" s="73" t="s">
        <v>384</v>
      </c>
      <c r="I9" s="74"/>
      <c r="K9" s="73"/>
      <c r="L9" s="74"/>
    </row>
    <row r="10" spans="1:12">
      <c r="A10" s="67" t="s">
        <v>10</v>
      </c>
      <c r="B10" s="68" t="s">
        <v>45</v>
      </c>
      <c r="C10" s="69"/>
      <c r="D10" s="69"/>
      <c r="E10" s="69"/>
      <c r="F10" s="69"/>
      <c r="G10" s="70"/>
      <c r="H10" s="71">
        <v>12</v>
      </c>
      <c r="I10" s="72"/>
    </row>
    <row r="11" spans="1:12">
      <c r="A11" s="68" t="s">
        <v>46</v>
      </c>
      <c r="B11" s="69"/>
      <c r="C11" s="69"/>
      <c r="D11" s="69"/>
      <c r="E11" s="69"/>
      <c r="F11" s="69"/>
      <c r="G11" s="69"/>
      <c r="H11" s="69"/>
      <c r="I11" s="70"/>
    </row>
    <row r="12" spans="1:12">
      <c r="A12" s="75"/>
      <c r="B12" s="76"/>
      <c r="C12" s="76"/>
      <c r="D12" s="76"/>
      <c r="E12" s="76"/>
      <c r="F12" s="76"/>
      <c r="G12" s="76"/>
      <c r="H12" s="76"/>
      <c r="I12" s="77"/>
    </row>
    <row r="13" spans="1:12">
      <c r="A13" s="29" t="s">
        <v>47</v>
      </c>
      <c r="B13" s="30"/>
      <c r="C13" s="30"/>
      <c r="D13" s="30"/>
      <c r="E13" s="30"/>
      <c r="F13" s="30"/>
      <c r="G13" s="30"/>
      <c r="H13" s="30"/>
      <c r="I13" s="31"/>
    </row>
    <row r="14" spans="1:12">
      <c r="A14" s="5" t="s">
        <v>48</v>
      </c>
      <c r="B14" s="6"/>
      <c r="C14" s="6"/>
      <c r="D14" s="6"/>
      <c r="E14" s="6"/>
      <c r="F14" s="6"/>
      <c r="G14" s="6"/>
      <c r="H14" s="6"/>
      <c r="I14" s="7"/>
    </row>
    <row r="15" spans="1:12" ht="42" customHeight="1">
      <c r="A15" s="67">
        <v>1</v>
      </c>
      <c r="B15" s="68" t="s">
        <v>49</v>
      </c>
      <c r="C15" s="69"/>
      <c r="D15" s="69"/>
      <c r="E15" s="69"/>
      <c r="F15" s="69"/>
      <c r="G15" s="70"/>
      <c r="H15" s="78" t="s">
        <v>402</v>
      </c>
      <c r="I15" s="79"/>
    </row>
    <row r="16" spans="1:12">
      <c r="A16" s="67">
        <v>2</v>
      </c>
      <c r="B16" s="68" t="s">
        <v>51</v>
      </c>
      <c r="C16" s="69"/>
      <c r="D16" s="69"/>
      <c r="E16" s="69"/>
      <c r="F16" s="69"/>
      <c r="G16" s="70"/>
      <c r="H16" s="80" t="s">
        <v>52</v>
      </c>
      <c r="I16" s="81"/>
    </row>
    <row r="17" spans="1:13">
      <c r="A17" s="67">
        <v>3</v>
      </c>
      <c r="B17" s="68" t="s">
        <v>53</v>
      </c>
      <c r="C17" s="69"/>
      <c r="D17" s="69"/>
      <c r="E17" s="69"/>
      <c r="F17" s="69"/>
      <c r="G17" s="70"/>
      <c r="H17" s="80">
        <v>2782.99</v>
      </c>
      <c r="I17" s="81"/>
    </row>
    <row r="18" spans="1:13">
      <c r="A18" s="67">
        <v>4</v>
      </c>
      <c r="B18" s="68" t="s">
        <v>54</v>
      </c>
      <c r="C18" s="69"/>
      <c r="D18" s="69"/>
      <c r="E18" s="69"/>
      <c r="F18" s="69"/>
      <c r="G18" s="70"/>
      <c r="H18" s="80" t="s">
        <v>401</v>
      </c>
      <c r="I18" s="81"/>
    </row>
    <row r="19" spans="1:13">
      <c r="A19" s="42">
        <v>5</v>
      </c>
      <c r="B19" s="68" t="s">
        <v>56</v>
      </c>
      <c r="C19" s="69"/>
      <c r="D19" s="69"/>
      <c r="E19" s="69"/>
      <c r="F19" s="69"/>
      <c r="G19" s="70"/>
      <c r="H19" s="82" t="s">
        <v>57</v>
      </c>
      <c r="I19" s="83"/>
    </row>
    <row r="20" spans="1:13">
      <c r="A20" s="84"/>
      <c r="B20" s="85"/>
      <c r="C20" s="85"/>
      <c r="D20" s="85"/>
      <c r="E20" s="85"/>
      <c r="F20" s="85"/>
      <c r="G20" s="85"/>
      <c r="H20" s="85"/>
      <c r="I20" s="86"/>
    </row>
    <row r="21" spans="1:13">
      <c r="A21" s="29" t="s">
        <v>58</v>
      </c>
      <c r="B21" s="30"/>
      <c r="C21" s="30"/>
      <c r="D21" s="30"/>
      <c r="E21" s="30"/>
      <c r="F21" s="30"/>
      <c r="G21" s="30"/>
      <c r="H21" s="30"/>
      <c r="I21" s="31"/>
    </row>
    <row r="22" spans="1:13">
      <c r="A22" s="4">
        <v>1</v>
      </c>
      <c r="B22" s="5" t="s">
        <v>59</v>
      </c>
      <c r="C22" s="6"/>
      <c r="D22" s="6"/>
      <c r="E22" s="6"/>
      <c r="F22" s="6"/>
      <c r="G22" s="7"/>
      <c r="H22" s="4" t="s">
        <v>60</v>
      </c>
      <c r="I22" s="8" t="s">
        <v>3</v>
      </c>
    </row>
    <row r="23" spans="1:13">
      <c r="A23" s="67" t="s">
        <v>4</v>
      </c>
      <c r="B23" s="68" t="s">
        <v>61</v>
      </c>
      <c r="C23" s="69"/>
      <c r="D23" s="69"/>
      <c r="E23" s="69"/>
      <c r="F23" s="69"/>
      <c r="G23" s="69"/>
      <c r="H23" s="70"/>
      <c r="I23" s="40">
        <f>H17</f>
        <v>2782.99</v>
      </c>
    </row>
    <row r="24" spans="1:13">
      <c r="A24" s="67" t="s">
        <v>6</v>
      </c>
      <c r="B24" s="87" t="s">
        <v>62</v>
      </c>
      <c r="C24" s="88"/>
      <c r="D24" s="88"/>
      <c r="E24" s="88"/>
      <c r="F24" s="88"/>
      <c r="G24" s="89"/>
      <c r="H24" s="90"/>
      <c r="I24" s="12"/>
      <c r="M24" s="91"/>
    </row>
    <row r="25" spans="1:13">
      <c r="A25" s="67" t="s">
        <v>8</v>
      </c>
      <c r="B25" s="92" t="s">
        <v>63</v>
      </c>
      <c r="C25" s="93"/>
      <c r="D25" s="93"/>
      <c r="E25" s="93"/>
      <c r="F25" s="93"/>
      <c r="G25" s="94"/>
      <c r="H25" s="95"/>
      <c r="I25" s="96"/>
    </row>
    <row r="26" spans="1:13" ht="14.4">
      <c r="A26" s="67"/>
      <c r="B26" s="97" t="s">
        <v>64</v>
      </c>
      <c r="C26" s="98"/>
      <c r="D26" s="98"/>
      <c r="E26" s="98"/>
      <c r="F26" s="98"/>
      <c r="G26" s="99"/>
      <c r="H26" s="95"/>
      <c r="I26" s="96"/>
    </row>
    <row r="27" spans="1:13">
      <c r="A27" s="67" t="s">
        <v>10</v>
      </c>
      <c r="B27" s="10" t="s">
        <v>65</v>
      </c>
      <c r="C27" s="10"/>
      <c r="D27" s="10"/>
      <c r="E27" s="10"/>
      <c r="F27" s="10"/>
      <c r="G27" s="10"/>
      <c r="H27" s="67"/>
      <c r="I27" s="12"/>
    </row>
    <row r="28" spans="1:13">
      <c r="A28" s="67" t="s">
        <v>12</v>
      </c>
      <c r="B28" s="10" t="s">
        <v>66</v>
      </c>
      <c r="C28" s="10"/>
      <c r="D28" s="10"/>
      <c r="E28" s="10"/>
      <c r="F28" s="10"/>
      <c r="G28" s="10"/>
      <c r="H28" s="100"/>
      <c r="I28" s="12"/>
    </row>
    <row r="29" spans="1:13">
      <c r="A29" s="101" t="s">
        <v>29</v>
      </c>
      <c r="B29" s="10" t="s">
        <v>67</v>
      </c>
      <c r="C29" s="10"/>
      <c r="D29" s="10"/>
      <c r="E29" s="10"/>
      <c r="F29" s="10"/>
      <c r="G29" s="10"/>
      <c r="H29" s="100"/>
      <c r="I29" s="12"/>
    </row>
    <row r="30" spans="1:13">
      <c r="A30" s="102" t="s">
        <v>14</v>
      </c>
      <c r="B30" s="103"/>
      <c r="C30" s="103"/>
      <c r="D30" s="103"/>
      <c r="E30" s="103"/>
      <c r="F30" s="103"/>
      <c r="G30" s="103"/>
      <c r="H30" s="104"/>
      <c r="I30" s="105">
        <f>SUM(I23:I29)</f>
        <v>2782.99</v>
      </c>
    </row>
    <row r="31" spans="1:13" ht="32.25" customHeight="1">
      <c r="A31" s="106" t="s">
        <v>68</v>
      </c>
      <c r="B31" s="107"/>
      <c r="C31" s="107"/>
      <c r="D31" s="107"/>
      <c r="E31" s="107"/>
      <c r="F31" s="107"/>
      <c r="G31" s="107"/>
      <c r="H31" s="107"/>
      <c r="I31" s="108"/>
    </row>
    <row r="32" spans="1:13">
      <c r="A32" s="1" t="s">
        <v>69</v>
      </c>
      <c r="B32" s="2"/>
      <c r="C32" s="2"/>
      <c r="D32" s="2"/>
      <c r="E32" s="2"/>
      <c r="F32" s="2"/>
      <c r="G32" s="2"/>
      <c r="H32" s="2"/>
      <c r="I32" s="3"/>
    </row>
    <row r="33" spans="1:16">
      <c r="A33" s="50" t="s">
        <v>70</v>
      </c>
      <c r="B33" s="58" t="s">
        <v>71</v>
      </c>
      <c r="C33" s="59"/>
      <c r="D33" s="59"/>
      <c r="E33" s="59"/>
      <c r="F33" s="59"/>
      <c r="G33" s="59"/>
      <c r="H33" s="109" t="s">
        <v>23</v>
      </c>
      <c r="I33" s="51" t="s">
        <v>3</v>
      </c>
    </row>
    <row r="34" spans="1:16" ht="29.25" customHeight="1">
      <c r="A34" s="9" t="s">
        <v>4</v>
      </c>
      <c r="B34" s="110" t="s">
        <v>72</v>
      </c>
      <c r="C34" s="69"/>
      <c r="D34" s="69"/>
      <c r="E34" s="69"/>
      <c r="F34" s="69"/>
      <c r="G34" s="70"/>
      <c r="H34" s="111">
        <v>8.3333333333333329E-2</v>
      </c>
      <c r="I34" s="12">
        <f>TRUNC($I$30*H34,2)</f>
        <v>231.91</v>
      </c>
    </row>
    <row r="35" spans="1:16" ht="34.5" customHeight="1">
      <c r="A35" s="9" t="s">
        <v>73</v>
      </c>
      <c r="B35" s="216" t="s">
        <v>134</v>
      </c>
      <c r="C35" s="69"/>
      <c r="D35" s="69"/>
      <c r="E35" s="69"/>
      <c r="F35" s="69"/>
      <c r="G35" s="70"/>
      <c r="H35" s="112">
        <v>0.121</v>
      </c>
      <c r="I35" s="12">
        <f>TRUNC($I$30*H35,2)</f>
        <v>336.74</v>
      </c>
    </row>
    <row r="36" spans="1:16">
      <c r="A36" s="18" t="s">
        <v>14</v>
      </c>
      <c r="B36" s="19"/>
      <c r="C36" s="19"/>
      <c r="D36" s="19"/>
      <c r="E36" s="19"/>
      <c r="F36" s="19"/>
      <c r="G36" s="20"/>
      <c r="H36" s="113">
        <f>SUM(H34:H35)</f>
        <v>0.20433333333333331</v>
      </c>
      <c r="I36" s="21">
        <f>SUM(I34:I35)</f>
        <v>568.65</v>
      </c>
    </row>
    <row r="37" spans="1:16" ht="132.75" customHeight="1">
      <c r="A37" s="114" t="s">
        <v>74</v>
      </c>
      <c r="B37" s="115"/>
      <c r="C37" s="115"/>
      <c r="D37" s="115"/>
      <c r="E37" s="115"/>
      <c r="F37" s="115"/>
      <c r="G37" s="115"/>
      <c r="H37" s="115"/>
      <c r="I37" s="116"/>
    </row>
    <row r="38" spans="1:16">
      <c r="A38" s="219" t="s">
        <v>75</v>
      </c>
      <c r="B38" s="220"/>
      <c r="C38" s="220"/>
      <c r="D38" s="220"/>
      <c r="E38" s="220"/>
      <c r="F38" s="220"/>
      <c r="G38" s="221"/>
      <c r="H38" s="117" t="s">
        <v>16</v>
      </c>
      <c r="I38" s="118">
        <f>I30</f>
        <v>2782.99</v>
      </c>
    </row>
    <row r="39" spans="1:16">
      <c r="A39" s="222"/>
      <c r="B39" s="223"/>
      <c r="C39" s="223"/>
      <c r="D39" s="223"/>
      <c r="E39" s="223"/>
      <c r="F39" s="223"/>
      <c r="G39" s="224"/>
      <c r="H39" s="117" t="s">
        <v>76</v>
      </c>
      <c r="I39" s="118">
        <f>I36</f>
        <v>568.65</v>
      </c>
    </row>
    <row r="40" spans="1:16">
      <c r="A40" s="225"/>
      <c r="B40" s="226"/>
      <c r="C40" s="226"/>
      <c r="D40" s="226"/>
      <c r="E40" s="226"/>
      <c r="F40" s="226"/>
      <c r="G40" s="227"/>
      <c r="H40" s="117" t="s">
        <v>14</v>
      </c>
      <c r="I40" s="118">
        <f>SUM(I38:I39)</f>
        <v>3351.64</v>
      </c>
    </row>
    <row r="41" spans="1:16" ht="32.25" customHeight="1">
      <c r="A41" s="58" t="s">
        <v>77</v>
      </c>
      <c r="B41" s="119"/>
      <c r="C41" s="119"/>
      <c r="D41" s="119"/>
      <c r="E41" s="119"/>
      <c r="F41" s="119"/>
      <c r="G41" s="119"/>
      <c r="H41" s="119"/>
      <c r="I41" s="120"/>
    </row>
    <row r="42" spans="1:16" ht="12.75" customHeight="1">
      <c r="A42" s="121" t="s">
        <v>78</v>
      </c>
      <c r="B42" s="5" t="s">
        <v>79</v>
      </c>
      <c r="C42" s="6"/>
      <c r="D42" s="6"/>
      <c r="E42" s="6"/>
      <c r="F42" s="6"/>
      <c r="G42" s="7"/>
      <c r="H42" s="109" t="s">
        <v>23</v>
      </c>
      <c r="I42" s="122" t="s">
        <v>3</v>
      </c>
      <c r="M42" s="91"/>
    </row>
    <row r="43" spans="1:16" ht="13.8">
      <c r="A43" s="123" t="s">
        <v>4</v>
      </c>
      <c r="B43" s="110" t="s">
        <v>80</v>
      </c>
      <c r="C43" s="69"/>
      <c r="D43" s="69"/>
      <c r="E43" s="69"/>
      <c r="F43" s="69"/>
      <c r="G43" s="70"/>
      <c r="H43" s="217">
        <v>0.2</v>
      </c>
      <c r="I43" s="12">
        <f>TRUNC(I40*H43,2)</f>
        <v>670.32</v>
      </c>
    </row>
    <row r="44" spans="1:16" ht="13.8">
      <c r="A44" s="123" t="s">
        <v>6</v>
      </c>
      <c r="B44" s="110" t="s">
        <v>81</v>
      </c>
      <c r="C44" s="69"/>
      <c r="D44" s="124"/>
      <c r="E44" s="124"/>
      <c r="F44" s="124"/>
      <c r="G44" s="125"/>
      <c r="H44" s="217">
        <v>2.5000000000000001E-2</v>
      </c>
      <c r="I44" s="12">
        <f>TRUNC(I40*H44,2)</f>
        <v>83.79</v>
      </c>
    </row>
    <row r="45" spans="1:16" ht="35.25" customHeight="1">
      <c r="A45" s="123" t="s">
        <v>8</v>
      </c>
      <c r="B45" s="110" t="s">
        <v>82</v>
      </c>
      <c r="C45" s="126"/>
      <c r="D45" s="127" t="s">
        <v>135</v>
      </c>
      <c r="E45" s="128"/>
      <c r="F45" s="127" t="s">
        <v>136</v>
      </c>
      <c r="G45" s="128"/>
      <c r="H45" s="218">
        <v>1.4999999999999999E-2</v>
      </c>
      <c r="I45" s="12">
        <f>TRUNC(I40*H45,2)</f>
        <v>50.27</v>
      </c>
    </row>
    <row r="46" spans="1:16" ht="13.8">
      <c r="A46" s="123" t="s">
        <v>10</v>
      </c>
      <c r="B46" s="110" t="s">
        <v>83</v>
      </c>
      <c r="C46" s="69"/>
      <c r="D46" s="129"/>
      <c r="E46" s="129"/>
      <c r="F46" s="129"/>
      <c r="G46" s="130"/>
      <c r="H46" s="217">
        <v>1.4999999999999999E-2</v>
      </c>
      <c r="I46" s="12">
        <f>TRUNC(I40*H46,2)</f>
        <v>50.27</v>
      </c>
    </row>
    <row r="47" spans="1:16" ht="13.8">
      <c r="A47" s="123" t="s">
        <v>12</v>
      </c>
      <c r="B47" s="110" t="s">
        <v>84</v>
      </c>
      <c r="C47" s="69"/>
      <c r="D47" s="69"/>
      <c r="E47" s="69"/>
      <c r="F47" s="69"/>
      <c r="G47" s="70"/>
      <c r="H47" s="217">
        <v>0.01</v>
      </c>
      <c r="I47" s="12">
        <f>TRUNC(I40*H47,2)</f>
        <v>33.51</v>
      </c>
    </row>
    <row r="48" spans="1:16" ht="13.8">
      <c r="A48" s="123" t="s">
        <v>29</v>
      </c>
      <c r="B48" s="110" t="s">
        <v>85</v>
      </c>
      <c r="C48" s="69"/>
      <c r="D48" s="69"/>
      <c r="E48" s="69"/>
      <c r="F48" s="69"/>
      <c r="G48" s="70"/>
      <c r="H48" s="217">
        <v>6.0000000000000001E-3</v>
      </c>
      <c r="I48" s="12">
        <f>TRUNC(I40*H48,2)</f>
        <v>20.100000000000001</v>
      </c>
      <c r="K48" s="91"/>
      <c r="L48" s="91"/>
      <c r="M48" s="91"/>
      <c r="O48" s="91"/>
      <c r="P48" s="131"/>
    </row>
    <row r="49" spans="1:12" ht="13.8">
      <c r="A49" s="123" t="s">
        <v>86</v>
      </c>
      <c r="B49" s="110" t="s">
        <v>87</v>
      </c>
      <c r="C49" s="69"/>
      <c r="D49" s="69"/>
      <c r="E49" s="69"/>
      <c r="F49" s="69"/>
      <c r="G49" s="70"/>
      <c r="H49" s="217">
        <v>2E-3</v>
      </c>
      <c r="I49" s="12">
        <f>TRUNC(I40*H49,2)</f>
        <v>6.7</v>
      </c>
    </row>
    <row r="50" spans="1:12" ht="13.8">
      <c r="A50" s="132" t="s">
        <v>88</v>
      </c>
      <c r="B50" s="68" t="s">
        <v>89</v>
      </c>
      <c r="C50" s="69"/>
      <c r="D50" s="69"/>
      <c r="E50" s="69"/>
      <c r="F50" s="69"/>
      <c r="G50" s="70"/>
      <c r="H50" s="217">
        <v>0.08</v>
      </c>
      <c r="I50" s="133">
        <f>TRUNC(I40*H50,2)</f>
        <v>268.13</v>
      </c>
    </row>
    <row r="51" spans="1:12">
      <c r="A51" s="134" t="s">
        <v>32</v>
      </c>
      <c r="B51" s="135"/>
      <c r="C51" s="135"/>
      <c r="D51" s="135"/>
      <c r="E51" s="135"/>
      <c r="F51" s="135"/>
      <c r="G51" s="136"/>
      <c r="H51" s="113">
        <f>SUM(H43:H49,H50)</f>
        <v>0.35300000000000004</v>
      </c>
      <c r="I51" s="21">
        <f>SUM(I43:I50)</f>
        <v>1183.0900000000001</v>
      </c>
    </row>
    <row r="52" spans="1:12" ht="76.5" customHeight="1">
      <c r="A52" s="114" t="s">
        <v>90</v>
      </c>
      <c r="B52" s="115"/>
      <c r="C52" s="115"/>
      <c r="D52" s="115"/>
      <c r="E52" s="115"/>
      <c r="F52" s="115"/>
      <c r="G52" s="115"/>
      <c r="H52" s="115"/>
      <c r="I52" s="116"/>
    </row>
    <row r="53" spans="1:12">
      <c r="A53" s="137" t="s">
        <v>91</v>
      </c>
      <c r="B53" s="36"/>
      <c r="C53" s="36"/>
      <c r="D53" s="36"/>
      <c r="E53" s="36"/>
      <c r="F53" s="36"/>
      <c r="G53" s="36"/>
      <c r="H53" s="36"/>
      <c r="I53" s="36"/>
    </row>
    <row r="54" spans="1:12">
      <c r="A54" s="138" t="s">
        <v>92</v>
      </c>
      <c r="B54" s="139" t="s">
        <v>93</v>
      </c>
      <c r="C54" s="140"/>
      <c r="D54" s="140"/>
      <c r="E54" s="140"/>
      <c r="F54" s="140"/>
      <c r="G54" s="140"/>
      <c r="H54" s="141"/>
      <c r="I54" s="142" t="s">
        <v>3</v>
      </c>
    </row>
    <row r="55" spans="1:12" ht="30.75" customHeight="1">
      <c r="A55" s="9" t="s">
        <v>4</v>
      </c>
      <c r="B55" s="143" t="s">
        <v>94</v>
      </c>
      <c r="C55" s="144"/>
      <c r="D55" s="144"/>
      <c r="E55" s="144"/>
      <c r="F55" s="144"/>
      <c r="G55" s="144"/>
      <c r="H55" s="145"/>
      <c r="I55" s="146">
        <f>I57-I58</f>
        <v>22.220600000000019</v>
      </c>
      <c r="J55" s="147"/>
    </row>
    <row r="56" spans="1:12" ht="12.75" customHeight="1">
      <c r="A56" s="9"/>
      <c r="B56" s="148" t="s">
        <v>95</v>
      </c>
      <c r="C56" s="149"/>
      <c r="D56" s="149"/>
      <c r="E56" s="149"/>
      <c r="F56" s="149"/>
      <c r="G56" s="150"/>
      <c r="H56" s="151">
        <f>'[1]BASE-Tarifas de Passagens'!F4</f>
        <v>4.3</v>
      </c>
      <c r="I56" s="40" t="s">
        <v>96</v>
      </c>
    </row>
    <row r="57" spans="1:12" ht="12.75" customHeight="1">
      <c r="A57" s="152"/>
      <c r="B57" s="148" t="s">
        <v>97</v>
      </c>
      <c r="C57" s="149"/>
      <c r="D57" s="149"/>
      <c r="E57" s="149"/>
      <c r="F57" s="149"/>
      <c r="G57" s="150"/>
      <c r="H57" s="153">
        <v>44</v>
      </c>
      <c r="I57" s="154">
        <f>H57*H56</f>
        <v>189.2</v>
      </c>
    </row>
    <row r="58" spans="1:12" ht="12.75" customHeight="1">
      <c r="A58" s="9"/>
      <c r="B58" s="148" t="s">
        <v>98</v>
      </c>
      <c r="C58" s="149"/>
      <c r="D58" s="149"/>
      <c r="E58" s="149"/>
      <c r="F58" s="149"/>
      <c r="G58" s="150"/>
      <c r="H58" s="155">
        <v>0.06</v>
      </c>
      <c r="I58" s="40">
        <f>H58*I30</f>
        <v>166.97939999999997</v>
      </c>
    </row>
    <row r="59" spans="1:12" ht="30.75" customHeight="1">
      <c r="A59" s="9" t="s">
        <v>6</v>
      </c>
      <c r="B59" s="156" t="s">
        <v>99</v>
      </c>
      <c r="C59" s="10"/>
      <c r="D59" s="10"/>
      <c r="E59" s="10"/>
      <c r="F59" s="10"/>
      <c r="G59" s="10"/>
      <c r="H59" s="67">
        <v>18.2</v>
      </c>
      <c r="I59" s="40">
        <f>L59</f>
        <v>356.35599999999999</v>
      </c>
      <c r="J59" s="228">
        <f>H59*22</f>
        <v>400.4</v>
      </c>
      <c r="K59" s="229">
        <f>J59*11%</f>
        <v>44.043999999999997</v>
      </c>
      <c r="L59" s="230">
        <f>J59-K59</f>
        <v>356.35599999999999</v>
      </c>
    </row>
    <row r="60" spans="1:12" ht="12.75" customHeight="1">
      <c r="A60" s="9" t="s">
        <v>8</v>
      </c>
      <c r="B60" s="156" t="s">
        <v>100</v>
      </c>
      <c r="C60" s="10"/>
      <c r="D60" s="10"/>
      <c r="E60" s="10"/>
      <c r="F60" s="10"/>
      <c r="G60" s="10"/>
      <c r="H60" s="100"/>
      <c r="I60" s="40">
        <v>16</v>
      </c>
      <c r="J60" s="157"/>
    </row>
    <row r="61" spans="1:12" ht="12.75" customHeight="1">
      <c r="A61" s="9" t="s">
        <v>12</v>
      </c>
      <c r="B61" s="156" t="s">
        <v>101</v>
      </c>
      <c r="C61" s="10"/>
      <c r="D61" s="10"/>
      <c r="E61" s="10"/>
      <c r="F61" s="10"/>
      <c r="G61" s="10"/>
      <c r="H61" s="100"/>
      <c r="I61" s="146">
        <v>2.54</v>
      </c>
    </row>
    <row r="62" spans="1:12" ht="12.75" customHeight="1">
      <c r="A62" s="9" t="s">
        <v>29</v>
      </c>
      <c r="B62" s="110" t="s">
        <v>137</v>
      </c>
      <c r="C62" s="231"/>
      <c r="D62" s="231"/>
      <c r="E62" s="231"/>
      <c r="F62" s="231"/>
      <c r="G62" s="231"/>
      <c r="H62" s="100"/>
      <c r="I62" s="146">
        <v>3.5</v>
      </c>
    </row>
    <row r="63" spans="1:12">
      <c r="A63" s="158"/>
      <c r="B63" s="18" t="s">
        <v>32</v>
      </c>
      <c r="C63" s="19"/>
      <c r="D63" s="19"/>
      <c r="E63" s="19"/>
      <c r="F63" s="19"/>
      <c r="G63" s="19"/>
      <c r="H63" s="20"/>
      <c r="I63" s="21">
        <f>SUM(I55,I59,I60,I61,I62)</f>
        <v>400.61660000000001</v>
      </c>
    </row>
    <row r="64" spans="1:12" ht="54.75" customHeight="1">
      <c r="A64" s="159" t="s">
        <v>102</v>
      </c>
      <c r="B64" s="160"/>
      <c r="C64" s="160"/>
      <c r="D64" s="160"/>
      <c r="E64" s="160"/>
      <c r="F64" s="160"/>
      <c r="G64" s="160"/>
      <c r="H64" s="160"/>
      <c r="I64" s="161"/>
    </row>
    <row r="65" spans="1:9">
      <c r="A65" s="1" t="s">
        <v>103</v>
      </c>
      <c r="B65" s="2"/>
      <c r="C65" s="2"/>
      <c r="D65" s="2"/>
      <c r="E65" s="2"/>
      <c r="F65" s="2"/>
      <c r="G65" s="2"/>
      <c r="H65" s="2"/>
      <c r="I65" s="3"/>
    </row>
    <row r="66" spans="1:9">
      <c r="A66" s="162">
        <v>2</v>
      </c>
      <c r="B66" s="163" t="s">
        <v>104</v>
      </c>
      <c r="C66" s="164"/>
      <c r="D66" s="164"/>
      <c r="E66" s="164"/>
      <c r="F66" s="164"/>
      <c r="G66" s="164"/>
      <c r="H66" s="165"/>
      <c r="I66" s="166" t="s">
        <v>3</v>
      </c>
    </row>
    <row r="67" spans="1:9">
      <c r="A67" s="9" t="s">
        <v>70</v>
      </c>
      <c r="B67" s="68" t="s">
        <v>71</v>
      </c>
      <c r="C67" s="69"/>
      <c r="D67" s="69"/>
      <c r="E67" s="69"/>
      <c r="F67" s="69"/>
      <c r="G67" s="69"/>
      <c r="H67" s="70"/>
      <c r="I67" s="40">
        <f>I36</f>
        <v>568.65</v>
      </c>
    </row>
    <row r="68" spans="1:9">
      <c r="A68" s="9" t="s">
        <v>78</v>
      </c>
      <c r="B68" s="68" t="s">
        <v>79</v>
      </c>
      <c r="C68" s="69"/>
      <c r="D68" s="69"/>
      <c r="E68" s="69"/>
      <c r="F68" s="69"/>
      <c r="G68" s="69"/>
      <c r="H68" s="70"/>
      <c r="I68" s="40">
        <f>I51</f>
        <v>1183.0900000000001</v>
      </c>
    </row>
    <row r="69" spans="1:9">
      <c r="A69" s="9" t="s">
        <v>92</v>
      </c>
      <c r="B69" s="68" t="s">
        <v>93</v>
      </c>
      <c r="C69" s="69"/>
      <c r="D69" s="69"/>
      <c r="E69" s="69"/>
      <c r="F69" s="69"/>
      <c r="G69" s="69"/>
      <c r="H69" s="70"/>
      <c r="I69" s="40">
        <f>I63</f>
        <v>400.61660000000001</v>
      </c>
    </row>
    <row r="70" spans="1:9">
      <c r="A70" s="18" t="s">
        <v>14</v>
      </c>
      <c r="B70" s="19"/>
      <c r="C70" s="19"/>
      <c r="D70" s="19"/>
      <c r="E70" s="19"/>
      <c r="F70" s="19"/>
      <c r="G70" s="19"/>
      <c r="H70" s="20"/>
      <c r="I70" s="21">
        <f>SUM(I67:I69)</f>
        <v>2152.3566000000001</v>
      </c>
    </row>
    <row r="71" spans="1:9">
      <c r="A71" s="75"/>
      <c r="B71" s="76"/>
      <c r="C71" s="76"/>
      <c r="D71" s="76"/>
      <c r="E71" s="76"/>
      <c r="F71" s="76"/>
      <c r="G71" s="76"/>
      <c r="H71" s="76"/>
      <c r="I71" s="77"/>
    </row>
    <row r="72" spans="1:9">
      <c r="A72" s="1" t="s">
        <v>0</v>
      </c>
      <c r="B72" s="2"/>
      <c r="C72" s="2"/>
      <c r="D72" s="2"/>
      <c r="E72" s="2"/>
      <c r="F72" s="2"/>
      <c r="G72" s="2"/>
      <c r="H72" s="2"/>
      <c r="I72" s="3"/>
    </row>
    <row r="73" spans="1:9" ht="26.4">
      <c r="A73" s="4">
        <v>3</v>
      </c>
      <c r="B73" s="5" t="s">
        <v>1</v>
      </c>
      <c r="C73" s="6"/>
      <c r="D73" s="6"/>
      <c r="E73" s="6"/>
      <c r="F73" s="6"/>
      <c r="G73" s="7"/>
      <c r="H73" s="4" t="s">
        <v>2</v>
      </c>
      <c r="I73" s="8" t="s">
        <v>3</v>
      </c>
    </row>
    <row r="74" spans="1:9" ht="12.75" customHeight="1">
      <c r="A74" s="9" t="s">
        <v>4</v>
      </c>
      <c r="B74" s="10" t="s">
        <v>5</v>
      </c>
      <c r="C74" s="10"/>
      <c r="D74" s="10"/>
      <c r="E74" s="10"/>
      <c r="F74" s="10"/>
      <c r="G74" s="10"/>
      <c r="H74" s="11">
        <v>4.5999999999999999E-3</v>
      </c>
      <c r="I74" s="12">
        <f>($I$30*H74)</f>
        <v>12.801753999999999</v>
      </c>
    </row>
    <row r="75" spans="1:9" ht="12.75" customHeight="1">
      <c r="A75" s="13" t="s">
        <v>6</v>
      </c>
      <c r="B75" s="14" t="s">
        <v>7</v>
      </c>
      <c r="C75" s="14"/>
      <c r="D75" s="14"/>
      <c r="E75" s="14"/>
      <c r="F75" s="14"/>
      <c r="G75" s="14"/>
      <c r="H75" s="15">
        <v>4.0000000000000002E-4</v>
      </c>
      <c r="I75" s="12">
        <f t="shared" ref="I75:I76" si="0">($I$30*H75)</f>
        <v>1.1131960000000001</v>
      </c>
    </row>
    <row r="76" spans="1:9" ht="31.5" customHeight="1">
      <c r="A76" s="9" t="s">
        <v>8</v>
      </c>
      <c r="B76" s="16" t="s">
        <v>9</v>
      </c>
      <c r="C76" s="10"/>
      <c r="D76" s="10"/>
      <c r="E76" s="10"/>
      <c r="F76" s="10"/>
      <c r="G76" s="10"/>
      <c r="H76" s="17">
        <v>1.9400000000000001E-2</v>
      </c>
      <c r="I76" s="12">
        <f t="shared" si="0"/>
        <v>53.990005999999994</v>
      </c>
    </row>
    <row r="77" spans="1:9" ht="31.5" customHeight="1">
      <c r="A77" s="13" t="s">
        <v>10</v>
      </c>
      <c r="B77" s="10" t="s">
        <v>11</v>
      </c>
      <c r="C77" s="10"/>
      <c r="D77" s="10"/>
      <c r="E77" s="10"/>
      <c r="F77" s="10"/>
      <c r="G77" s="10"/>
      <c r="H77" s="11">
        <v>7.1000000000000004E-3</v>
      </c>
      <c r="I77" s="12">
        <f>($I$30*H77)</f>
        <v>19.759229000000001</v>
      </c>
    </row>
    <row r="78" spans="1:9" ht="54" customHeight="1">
      <c r="A78" s="9" t="s">
        <v>12</v>
      </c>
      <c r="B78" s="10" t="s">
        <v>13</v>
      </c>
      <c r="C78" s="10"/>
      <c r="D78" s="10"/>
      <c r="E78" s="10"/>
      <c r="F78" s="10"/>
      <c r="G78" s="10"/>
      <c r="H78" s="11">
        <v>0.04</v>
      </c>
      <c r="I78" s="12">
        <f>($I$30*H78)</f>
        <v>111.31959999999999</v>
      </c>
    </row>
    <row r="79" spans="1:9">
      <c r="A79" s="123" t="s">
        <v>29</v>
      </c>
      <c r="B79" s="16" t="s">
        <v>383</v>
      </c>
      <c r="C79" s="10"/>
      <c r="D79" s="10"/>
      <c r="E79" s="10"/>
      <c r="F79" s="10"/>
      <c r="G79" s="10"/>
      <c r="H79" s="11">
        <v>1.5800000000000002E-2</v>
      </c>
      <c r="I79" s="12">
        <f>($I$36*H79)</f>
        <v>8.9846700000000013</v>
      </c>
    </row>
    <row r="80" spans="1:9">
      <c r="A80" s="18" t="s">
        <v>14</v>
      </c>
      <c r="B80" s="19"/>
      <c r="C80" s="19"/>
      <c r="D80" s="19"/>
      <c r="E80" s="19"/>
      <c r="F80" s="19"/>
      <c r="G80" s="19"/>
      <c r="H80" s="20"/>
      <c r="I80" s="21">
        <f>SUM(I74:I79)</f>
        <v>207.96845500000001</v>
      </c>
    </row>
    <row r="81" spans="1:12">
      <c r="A81" s="22" t="s">
        <v>15</v>
      </c>
      <c r="B81" s="23"/>
      <c r="C81" s="23"/>
      <c r="D81" s="23"/>
      <c r="E81" s="23"/>
      <c r="F81" s="23"/>
      <c r="G81" s="23"/>
      <c r="H81" s="24" t="s">
        <v>16</v>
      </c>
      <c r="I81" s="25">
        <f>I30</f>
        <v>2782.99</v>
      </c>
    </row>
    <row r="82" spans="1:12" ht="69" customHeight="1">
      <c r="A82" s="23"/>
      <c r="B82" s="23"/>
      <c r="C82" s="23"/>
      <c r="D82" s="23"/>
      <c r="E82" s="23"/>
      <c r="F82" s="23"/>
      <c r="G82" s="23"/>
      <c r="H82" s="26" t="s">
        <v>17</v>
      </c>
      <c r="I82" s="25">
        <f>I36+I51+I60+I61</f>
        <v>1770.2800000000002</v>
      </c>
    </row>
    <row r="83" spans="1:12">
      <c r="A83" s="23"/>
      <c r="B83" s="23"/>
      <c r="C83" s="23"/>
      <c r="D83" s="23"/>
      <c r="E83" s="23"/>
      <c r="F83" s="23"/>
      <c r="G83" s="23"/>
      <c r="H83" s="24" t="s">
        <v>18</v>
      </c>
      <c r="I83" s="25">
        <f>I80</f>
        <v>207.96845500000001</v>
      </c>
    </row>
    <row r="84" spans="1:12">
      <c r="A84" s="23"/>
      <c r="B84" s="23"/>
      <c r="C84" s="23"/>
      <c r="D84" s="23"/>
      <c r="E84" s="23"/>
      <c r="F84" s="23"/>
      <c r="G84" s="23"/>
      <c r="H84" s="27" t="s">
        <v>14</v>
      </c>
      <c r="I84" s="28">
        <f>SUM(I81:I83)</f>
        <v>4761.2384550000006</v>
      </c>
    </row>
    <row r="85" spans="1:12">
      <c r="A85" s="29" t="s">
        <v>19</v>
      </c>
      <c r="B85" s="30"/>
      <c r="C85" s="30"/>
      <c r="D85" s="30"/>
      <c r="E85" s="30"/>
      <c r="F85" s="30"/>
      <c r="G85" s="30"/>
      <c r="H85" s="30"/>
      <c r="I85" s="31"/>
    </row>
    <row r="86" spans="1:12" ht="60.75" customHeight="1">
      <c r="A86" s="32" t="s">
        <v>20</v>
      </c>
      <c r="B86" s="33"/>
      <c r="C86" s="33"/>
      <c r="D86" s="33"/>
      <c r="E86" s="33"/>
      <c r="F86" s="33"/>
      <c r="G86" s="33"/>
      <c r="H86" s="33"/>
      <c r="I86" s="34"/>
    </row>
    <row r="87" spans="1:12">
      <c r="A87" s="35" t="s">
        <v>21</v>
      </c>
      <c r="B87" s="36" t="s">
        <v>22</v>
      </c>
      <c r="C87" s="36"/>
      <c r="D87" s="36"/>
      <c r="E87" s="36"/>
      <c r="F87" s="36"/>
      <c r="G87" s="36"/>
      <c r="H87" s="4" t="s">
        <v>23</v>
      </c>
      <c r="I87" s="37" t="s">
        <v>3</v>
      </c>
    </row>
    <row r="88" spans="1:12" ht="25.5" customHeight="1">
      <c r="A88" s="9" t="s">
        <v>4</v>
      </c>
      <c r="B88" s="38" t="s">
        <v>24</v>
      </c>
      <c r="C88" s="38"/>
      <c r="D88" s="38"/>
      <c r="E88" s="38"/>
      <c r="F88" s="38"/>
      <c r="G88" s="38"/>
      <c r="H88" s="39">
        <v>9.0749999999999997E-2</v>
      </c>
      <c r="I88" s="40">
        <f>H88*$I$84</f>
        <v>432.08238979125002</v>
      </c>
      <c r="K88" s="167"/>
      <c r="L88" s="91"/>
    </row>
    <row r="89" spans="1:12" ht="39.75" customHeight="1">
      <c r="A89" s="9" t="s">
        <v>6</v>
      </c>
      <c r="B89" s="38" t="s">
        <v>25</v>
      </c>
      <c r="C89" s="38"/>
      <c r="D89" s="38"/>
      <c r="E89" s="38"/>
      <c r="F89" s="38"/>
      <c r="G89" s="38"/>
      <c r="H89" s="15">
        <v>1.6299999999999999E-2</v>
      </c>
      <c r="I89" s="40">
        <f t="shared" ref="I89:I91" si="1">H89*$I$84</f>
        <v>77.608186816500009</v>
      </c>
    </row>
    <row r="90" spans="1:12" ht="35.25" customHeight="1">
      <c r="A90" s="9" t="s">
        <v>8</v>
      </c>
      <c r="B90" s="38" t="s">
        <v>26</v>
      </c>
      <c r="C90" s="38"/>
      <c r="D90" s="38"/>
      <c r="E90" s="38"/>
      <c r="F90" s="38"/>
      <c r="G90" s="38"/>
      <c r="H90" s="11">
        <v>2.0000000000000001E-4</v>
      </c>
      <c r="I90" s="40">
        <f t="shared" si="1"/>
        <v>0.95224769100000017</v>
      </c>
    </row>
    <row r="91" spans="1:12" ht="50.25" customHeight="1">
      <c r="A91" s="9" t="s">
        <v>10</v>
      </c>
      <c r="B91" s="38" t="s">
        <v>27</v>
      </c>
      <c r="C91" s="38"/>
      <c r="D91" s="38"/>
      <c r="E91" s="38"/>
      <c r="F91" s="38"/>
      <c r="G91" s="38"/>
      <c r="H91" s="15">
        <v>3.3E-3</v>
      </c>
      <c r="I91" s="40">
        <f t="shared" si="1"/>
        <v>15.712086901500001</v>
      </c>
      <c r="K91" s="168"/>
    </row>
    <row r="92" spans="1:12" ht="45" customHeight="1">
      <c r="A92" s="9" t="s">
        <v>12</v>
      </c>
      <c r="B92" s="38" t="s">
        <v>28</v>
      </c>
      <c r="C92" s="38"/>
      <c r="D92" s="38"/>
      <c r="E92" s="38"/>
      <c r="F92" s="38"/>
      <c r="G92" s="38"/>
      <c r="H92" s="41">
        <v>5.5000000000000003E-4</v>
      </c>
      <c r="I92" s="40">
        <f>H92*$I$84</f>
        <v>2.6186811502500005</v>
      </c>
    </row>
    <row r="93" spans="1:12">
      <c r="A93" s="42" t="s">
        <v>29</v>
      </c>
      <c r="B93" s="14" t="s">
        <v>30</v>
      </c>
      <c r="C93" s="14"/>
      <c r="D93" s="14"/>
      <c r="E93" s="14"/>
      <c r="F93" s="14"/>
      <c r="G93" s="14"/>
      <c r="H93" s="15" t="s">
        <v>31</v>
      </c>
      <c r="I93" s="40"/>
    </row>
    <row r="94" spans="1:12">
      <c r="A94" s="18" t="s">
        <v>32</v>
      </c>
      <c r="B94" s="19"/>
      <c r="C94" s="19"/>
      <c r="D94" s="19"/>
      <c r="E94" s="19"/>
      <c r="F94" s="19"/>
      <c r="G94" s="19"/>
      <c r="H94" s="20"/>
      <c r="I94" s="43">
        <f>SUM(I88:I93)</f>
        <v>528.9735923505001</v>
      </c>
    </row>
    <row r="95" spans="1:12">
      <c r="A95" s="35" t="s">
        <v>33</v>
      </c>
      <c r="B95" s="44" t="s">
        <v>34</v>
      </c>
      <c r="C95" s="45"/>
      <c r="D95" s="45"/>
      <c r="E95" s="45"/>
      <c r="F95" s="45"/>
      <c r="G95" s="45"/>
      <c r="H95" s="46"/>
      <c r="I95" s="37" t="s">
        <v>3</v>
      </c>
    </row>
    <row r="96" spans="1:12">
      <c r="A96" s="9" t="s">
        <v>4</v>
      </c>
      <c r="B96" s="10" t="s">
        <v>35</v>
      </c>
      <c r="C96" s="10"/>
      <c r="D96" s="10"/>
      <c r="E96" s="10"/>
      <c r="F96" s="10"/>
      <c r="G96" s="10"/>
      <c r="H96" s="47"/>
      <c r="I96" s="48">
        <v>0</v>
      </c>
    </row>
    <row r="97" spans="1:9">
      <c r="A97" s="18" t="s">
        <v>32</v>
      </c>
      <c r="B97" s="19"/>
      <c r="C97" s="19"/>
      <c r="D97" s="19"/>
      <c r="E97" s="19"/>
      <c r="F97" s="19"/>
      <c r="G97" s="19"/>
      <c r="H97" s="20"/>
      <c r="I97" s="49">
        <f>SUM(I96:I96)</f>
        <v>0</v>
      </c>
    </row>
    <row r="98" spans="1:9">
      <c r="A98" s="1" t="s">
        <v>36</v>
      </c>
      <c r="B98" s="2"/>
      <c r="C98" s="2"/>
      <c r="D98" s="2"/>
      <c r="E98" s="2"/>
      <c r="F98" s="2"/>
      <c r="G98" s="2"/>
      <c r="H98" s="2"/>
      <c r="I98" s="3"/>
    </row>
    <row r="99" spans="1:9">
      <c r="A99" s="50">
        <v>4</v>
      </c>
      <c r="B99" s="5" t="s">
        <v>37</v>
      </c>
      <c r="C99" s="6"/>
      <c r="D99" s="6"/>
      <c r="E99" s="6"/>
      <c r="F99" s="6"/>
      <c r="G99" s="6"/>
      <c r="H99" s="7"/>
      <c r="I99" s="51" t="s">
        <v>3</v>
      </c>
    </row>
    <row r="100" spans="1:9">
      <c r="A100" s="9" t="s">
        <v>21</v>
      </c>
      <c r="B100" s="10" t="s">
        <v>22</v>
      </c>
      <c r="C100" s="10"/>
      <c r="D100" s="10"/>
      <c r="E100" s="10"/>
      <c r="F100" s="10"/>
      <c r="G100" s="10"/>
      <c r="H100" s="52"/>
      <c r="I100" s="40">
        <f>I94</f>
        <v>528.9735923505001</v>
      </c>
    </row>
    <row r="101" spans="1:9">
      <c r="A101" s="9" t="s">
        <v>33</v>
      </c>
      <c r="B101" s="10" t="s">
        <v>34</v>
      </c>
      <c r="C101" s="10"/>
      <c r="D101" s="10"/>
      <c r="E101" s="10"/>
      <c r="F101" s="10"/>
      <c r="G101" s="10"/>
      <c r="H101" s="52"/>
      <c r="I101" s="40">
        <f>I97</f>
        <v>0</v>
      </c>
    </row>
    <row r="102" spans="1:9">
      <c r="A102" s="18" t="s">
        <v>14</v>
      </c>
      <c r="B102" s="19"/>
      <c r="C102" s="19"/>
      <c r="D102" s="19"/>
      <c r="E102" s="19"/>
      <c r="F102" s="19"/>
      <c r="G102" s="19"/>
      <c r="H102" s="20"/>
      <c r="I102" s="21">
        <f>SUM(I100:I101)</f>
        <v>528.9735923505001</v>
      </c>
    </row>
    <row r="103" spans="1:9">
      <c r="A103" s="75"/>
      <c r="B103" s="76"/>
      <c r="C103" s="76"/>
      <c r="D103" s="76"/>
      <c r="E103" s="76"/>
      <c r="F103" s="76"/>
      <c r="G103" s="76"/>
      <c r="H103" s="76"/>
      <c r="I103" s="77"/>
    </row>
    <row r="104" spans="1:9">
      <c r="A104" s="29" t="s">
        <v>105</v>
      </c>
      <c r="B104" s="30"/>
      <c r="C104" s="30"/>
      <c r="D104" s="30"/>
      <c r="E104" s="30"/>
      <c r="F104" s="30"/>
      <c r="G104" s="30"/>
      <c r="H104" s="30"/>
      <c r="I104" s="31"/>
    </row>
    <row r="105" spans="1:9">
      <c r="A105" s="50">
        <v>5</v>
      </c>
      <c r="B105" s="5" t="s">
        <v>106</v>
      </c>
      <c r="C105" s="6"/>
      <c r="D105" s="6"/>
      <c r="E105" s="6"/>
      <c r="F105" s="6"/>
      <c r="G105" s="6"/>
      <c r="H105" s="7"/>
      <c r="I105" s="51" t="s">
        <v>3</v>
      </c>
    </row>
    <row r="106" spans="1:9">
      <c r="A106" s="9" t="s">
        <v>4</v>
      </c>
      <c r="B106" s="159" t="s">
        <v>107</v>
      </c>
      <c r="C106" s="169"/>
      <c r="D106" s="169"/>
      <c r="E106" s="169"/>
      <c r="F106" s="169"/>
      <c r="G106" s="169"/>
      <c r="H106" s="170"/>
      <c r="I106" s="171">
        <f>UNIFORMES!F9</f>
        <v>42.666666666666664</v>
      </c>
    </row>
    <row r="107" spans="1:9">
      <c r="A107" s="9" t="s">
        <v>6</v>
      </c>
      <c r="B107" s="159" t="s">
        <v>108</v>
      </c>
      <c r="C107" s="169"/>
      <c r="D107" s="169"/>
      <c r="E107" s="169"/>
      <c r="F107" s="169"/>
      <c r="G107" s="169"/>
      <c r="H107" s="170"/>
      <c r="I107" s="172">
        <v>0</v>
      </c>
    </row>
    <row r="108" spans="1:9">
      <c r="A108" s="9" t="s">
        <v>8</v>
      </c>
      <c r="B108" s="173" t="s">
        <v>109</v>
      </c>
      <c r="C108" s="160"/>
      <c r="D108" s="160"/>
      <c r="E108" s="160"/>
      <c r="F108" s="160"/>
      <c r="G108" s="160"/>
      <c r="H108" s="161"/>
      <c r="I108" s="172">
        <f>'MATERIAL E EQUIPAMENTO'!G107</f>
        <v>39.370833333333337</v>
      </c>
    </row>
    <row r="109" spans="1:9">
      <c r="A109" s="18" t="s">
        <v>14</v>
      </c>
      <c r="B109" s="19"/>
      <c r="C109" s="19"/>
      <c r="D109" s="19"/>
      <c r="E109" s="19"/>
      <c r="F109" s="19"/>
      <c r="G109" s="19"/>
      <c r="H109" s="20"/>
      <c r="I109" s="174">
        <f>ROUND(SUM(I106:I108),2)</f>
        <v>82.04</v>
      </c>
    </row>
    <row r="110" spans="1:9">
      <c r="A110" s="175" t="s">
        <v>110</v>
      </c>
      <c r="B110" s="176"/>
      <c r="C110" s="176"/>
      <c r="D110" s="176"/>
      <c r="E110" s="176"/>
      <c r="F110" s="176"/>
      <c r="G110" s="177"/>
      <c r="H110" s="24" t="s">
        <v>16</v>
      </c>
      <c r="I110" s="178">
        <f>I30</f>
        <v>2782.99</v>
      </c>
    </row>
    <row r="111" spans="1:9">
      <c r="A111" s="179"/>
      <c r="B111" s="180"/>
      <c r="C111" s="180"/>
      <c r="D111" s="180"/>
      <c r="E111" s="180"/>
      <c r="F111" s="180"/>
      <c r="G111" s="181"/>
      <c r="H111" s="24" t="s">
        <v>111</v>
      </c>
      <c r="I111" s="178">
        <f>I70</f>
        <v>2152.3566000000001</v>
      </c>
    </row>
    <row r="112" spans="1:9">
      <c r="A112" s="179"/>
      <c r="B112" s="180"/>
      <c r="C112" s="180"/>
      <c r="D112" s="180"/>
      <c r="E112" s="180"/>
      <c r="F112" s="180"/>
      <c r="G112" s="181"/>
      <c r="H112" s="24" t="s">
        <v>18</v>
      </c>
      <c r="I112" s="178">
        <f>I80</f>
        <v>207.96845500000001</v>
      </c>
    </row>
    <row r="113" spans="1:11">
      <c r="A113" s="179"/>
      <c r="B113" s="180"/>
      <c r="C113" s="180"/>
      <c r="D113" s="180"/>
      <c r="E113" s="180"/>
      <c r="F113" s="180"/>
      <c r="G113" s="181"/>
      <c r="H113" s="24" t="s">
        <v>112</v>
      </c>
      <c r="I113" s="182">
        <f>I102</f>
        <v>528.9735923505001</v>
      </c>
    </row>
    <row r="114" spans="1:11">
      <c r="A114" s="179"/>
      <c r="B114" s="180"/>
      <c r="C114" s="180"/>
      <c r="D114" s="180"/>
      <c r="E114" s="180"/>
      <c r="F114" s="180"/>
      <c r="G114" s="181"/>
      <c r="H114" s="183" t="s">
        <v>113</v>
      </c>
      <c r="I114" s="184">
        <f>I109</f>
        <v>82.04</v>
      </c>
    </row>
    <row r="115" spans="1:11">
      <c r="A115" s="185"/>
      <c r="B115" s="186"/>
      <c r="C115" s="186"/>
      <c r="D115" s="186"/>
      <c r="E115" s="186"/>
      <c r="F115" s="186"/>
      <c r="G115" s="187"/>
      <c r="H115" s="183" t="s">
        <v>14</v>
      </c>
      <c r="I115" s="184">
        <f>SUM(I110:I114)</f>
        <v>5754.3286473505004</v>
      </c>
    </row>
    <row r="116" spans="1:11">
      <c r="A116" s="188" t="s">
        <v>114</v>
      </c>
      <c r="B116" s="188"/>
      <c r="C116" s="188"/>
      <c r="D116" s="188"/>
      <c r="E116" s="188"/>
      <c r="F116" s="188"/>
      <c r="G116" s="188"/>
      <c r="H116" s="188"/>
      <c r="I116" s="189"/>
    </row>
    <row r="117" spans="1:11">
      <c r="A117" s="50">
        <v>6</v>
      </c>
      <c r="B117" s="44" t="s">
        <v>115</v>
      </c>
      <c r="C117" s="45"/>
      <c r="D117" s="45"/>
      <c r="E117" s="45"/>
      <c r="F117" s="45"/>
      <c r="G117" s="46"/>
      <c r="H117" s="109" t="s">
        <v>60</v>
      </c>
      <c r="I117" s="51" t="s">
        <v>3</v>
      </c>
    </row>
    <row r="118" spans="1:11" ht="14.4">
      <c r="A118" s="9" t="s">
        <v>4</v>
      </c>
      <c r="B118" s="190" t="s">
        <v>116</v>
      </c>
      <c r="C118" s="144"/>
      <c r="D118" s="144"/>
      <c r="E118" s="144"/>
      <c r="F118" s="144"/>
      <c r="G118" s="145"/>
      <c r="H118" s="15">
        <v>0.03</v>
      </c>
      <c r="I118" s="12">
        <f>I115*H118</f>
        <v>172.629859420515</v>
      </c>
    </row>
    <row r="119" spans="1:11" ht="14.4">
      <c r="A119" s="9" t="s">
        <v>6</v>
      </c>
      <c r="B119" s="190" t="s">
        <v>117</v>
      </c>
      <c r="C119" s="144"/>
      <c r="D119" s="144"/>
      <c r="E119" s="144"/>
      <c r="F119" s="144"/>
      <c r="G119" s="145"/>
      <c r="H119" s="15">
        <v>3.4000000000000002E-2</v>
      </c>
      <c r="I119" s="12">
        <f>(I115+I118)*H119</f>
        <v>201.51658923021455</v>
      </c>
    </row>
    <row r="120" spans="1:11">
      <c r="A120" s="9" t="s">
        <v>8</v>
      </c>
      <c r="B120" s="143" t="s">
        <v>118</v>
      </c>
      <c r="C120" s="144"/>
      <c r="D120" s="144"/>
      <c r="E120" s="144"/>
      <c r="F120" s="144"/>
      <c r="G120" s="145"/>
      <c r="H120" s="191"/>
      <c r="I120" s="192"/>
    </row>
    <row r="121" spans="1:11">
      <c r="A121" s="193"/>
      <c r="B121" s="143" t="s">
        <v>119</v>
      </c>
      <c r="C121" s="144"/>
      <c r="D121" s="144"/>
      <c r="E121" s="144"/>
      <c r="F121" s="144"/>
      <c r="G121" s="145"/>
      <c r="H121" s="15" t="s">
        <v>96</v>
      </c>
      <c r="I121" s="12" t="s">
        <v>96</v>
      </c>
      <c r="K121" s="55">
        <f>'[1]PROPOSTA RESUMO'!H39</f>
        <v>566499.83999999997</v>
      </c>
    </row>
    <row r="122" spans="1:11">
      <c r="A122" s="193"/>
      <c r="B122" s="110" t="s">
        <v>120</v>
      </c>
      <c r="C122" s="69"/>
      <c r="D122" s="69"/>
      <c r="E122" s="69"/>
      <c r="F122" s="69"/>
      <c r="G122" s="70"/>
      <c r="H122" s="17">
        <v>6.4999999999999997E-3</v>
      </c>
      <c r="I122" s="12">
        <f>(I115+I118+I119)/(1-H127)*H122</f>
        <v>43.607102489335524</v>
      </c>
    </row>
    <row r="123" spans="1:11">
      <c r="A123" s="193"/>
      <c r="B123" s="194" t="s">
        <v>121</v>
      </c>
      <c r="C123" s="69"/>
      <c r="D123" s="69"/>
      <c r="E123" s="69"/>
      <c r="F123" s="69"/>
      <c r="G123" s="70"/>
      <c r="H123" s="17">
        <v>0.03</v>
      </c>
      <c r="I123" s="12">
        <f>(I115+I118+I119)/(1-H127)*H123</f>
        <v>201.26354995077932</v>
      </c>
    </row>
    <row r="124" spans="1:11">
      <c r="A124" s="193"/>
      <c r="B124" s="194" t="s">
        <v>122</v>
      </c>
      <c r="C124" s="195"/>
      <c r="D124" s="195"/>
      <c r="E124" s="195"/>
      <c r="F124" s="195"/>
      <c r="G124" s="196"/>
      <c r="H124" s="90"/>
      <c r="I124" s="12"/>
    </row>
    <row r="125" spans="1:11">
      <c r="A125" s="193"/>
      <c r="B125" s="194" t="s">
        <v>123</v>
      </c>
      <c r="C125" s="195"/>
      <c r="D125" s="195"/>
      <c r="E125" s="195"/>
      <c r="F125" s="195"/>
      <c r="G125" s="196"/>
      <c r="H125" s="90"/>
      <c r="I125" s="12"/>
    </row>
    <row r="126" spans="1:11">
      <c r="A126" s="193"/>
      <c r="B126" s="110" t="s">
        <v>124</v>
      </c>
      <c r="C126" s="69"/>
      <c r="D126" s="69"/>
      <c r="E126" s="69"/>
      <c r="F126" s="69"/>
      <c r="G126" s="70"/>
      <c r="H126" s="340">
        <f>'[1]BASE-Alíquotas ISS'!B2</f>
        <v>0.05</v>
      </c>
      <c r="I126" s="12">
        <f>(I115+I118+I119)/(1-H127)*H126</f>
        <v>335.43924991796558</v>
      </c>
    </row>
    <row r="127" spans="1:11" ht="14.25" customHeight="1">
      <c r="A127" s="73"/>
      <c r="B127" s="197"/>
      <c r="C127" s="197"/>
      <c r="D127" s="197"/>
      <c r="E127" s="197"/>
      <c r="F127" s="197"/>
      <c r="G127" s="74"/>
      <c r="H127" s="198">
        <f>SUM(H122:H126)</f>
        <v>8.6499999999999994E-2</v>
      </c>
      <c r="I127" s="12"/>
    </row>
    <row r="128" spans="1:11">
      <c r="A128" s="18" t="s">
        <v>14</v>
      </c>
      <c r="B128" s="19"/>
      <c r="C128" s="19"/>
      <c r="D128" s="19"/>
      <c r="E128" s="19"/>
      <c r="F128" s="19"/>
      <c r="G128" s="19"/>
      <c r="H128" s="199">
        <f>SUM(H118,H119,H127)</f>
        <v>0.15049999999999999</v>
      </c>
      <c r="I128" s="200">
        <f>SUM(I118:I126)</f>
        <v>954.45635100881009</v>
      </c>
    </row>
    <row r="129" spans="1:9" ht="40.5" customHeight="1">
      <c r="A129" s="194" t="s">
        <v>125</v>
      </c>
      <c r="B129" s="63"/>
      <c r="C129" s="63"/>
      <c r="D129" s="63"/>
      <c r="E129" s="63"/>
      <c r="F129" s="63"/>
      <c r="G129" s="63"/>
      <c r="H129" s="201"/>
      <c r="I129" s="64"/>
    </row>
    <row r="130" spans="1:9">
      <c r="A130" s="202"/>
      <c r="B130" s="203"/>
      <c r="C130" s="203"/>
      <c r="D130" s="203"/>
      <c r="E130" s="203"/>
      <c r="F130" s="203"/>
      <c r="G130" s="203"/>
      <c r="H130" s="203"/>
      <c r="I130" s="203"/>
    </row>
    <row r="131" spans="1:9">
      <c r="A131" s="204" t="s">
        <v>126</v>
      </c>
      <c r="B131" s="205"/>
      <c r="C131" s="205"/>
      <c r="D131" s="205"/>
      <c r="E131" s="205"/>
      <c r="F131" s="205"/>
      <c r="G131" s="205"/>
      <c r="H131" s="205"/>
      <c r="I131" s="206"/>
    </row>
    <row r="132" spans="1:9">
      <c r="A132" s="5" t="s">
        <v>127</v>
      </c>
      <c r="B132" s="6"/>
      <c r="C132" s="6"/>
      <c r="D132" s="6"/>
      <c r="E132" s="6"/>
      <c r="F132" s="6"/>
      <c r="G132" s="6"/>
      <c r="H132" s="7"/>
      <c r="I132" s="122" t="s">
        <v>3</v>
      </c>
    </row>
    <row r="133" spans="1:9">
      <c r="A133" s="207" t="s">
        <v>4</v>
      </c>
      <c r="B133" s="68" t="s">
        <v>128</v>
      </c>
      <c r="C133" s="69"/>
      <c r="D133" s="69"/>
      <c r="E133" s="69"/>
      <c r="F133" s="69"/>
      <c r="G133" s="69"/>
      <c r="H133" s="70"/>
      <c r="I133" s="146">
        <f>I30</f>
        <v>2782.99</v>
      </c>
    </row>
    <row r="134" spans="1:9">
      <c r="A134" s="207" t="s">
        <v>6</v>
      </c>
      <c r="B134" s="68" t="s">
        <v>104</v>
      </c>
      <c r="C134" s="69"/>
      <c r="D134" s="69"/>
      <c r="E134" s="69"/>
      <c r="F134" s="69"/>
      <c r="G134" s="69"/>
      <c r="H134" s="70"/>
      <c r="I134" s="146">
        <f>I70</f>
        <v>2152.3566000000001</v>
      </c>
    </row>
    <row r="135" spans="1:9">
      <c r="A135" s="207" t="s">
        <v>8</v>
      </c>
      <c r="B135" s="68" t="s">
        <v>129</v>
      </c>
      <c r="C135" s="69"/>
      <c r="D135" s="69"/>
      <c r="E135" s="69"/>
      <c r="F135" s="69"/>
      <c r="G135" s="69"/>
      <c r="H135" s="70"/>
      <c r="I135" s="146">
        <f>I80</f>
        <v>207.96845500000001</v>
      </c>
    </row>
    <row r="136" spans="1:9">
      <c r="A136" s="207" t="s">
        <v>10</v>
      </c>
      <c r="B136" s="68" t="s">
        <v>37</v>
      </c>
      <c r="C136" s="69"/>
      <c r="D136" s="69"/>
      <c r="E136" s="69"/>
      <c r="F136" s="69"/>
      <c r="G136" s="69"/>
      <c r="H136" s="70"/>
      <c r="I136" s="146">
        <f>I102</f>
        <v>528.9735923505001</v>
      </c>
    </row>
    <row r="137" spans="1:9">
      <c r="A137" s="207" t="s">
        <v>12</v>
      </c>
      <c r="B137" s="68" t="s">
        <v>130</v>
      </c>
      <c r="C137" s="69"/>
      <c r="D137" s="69"/>
      <c r="E137" s="69"/>
      <c r="F137" s="69"/>
      <c r="G137" s="69"/>
      <c r="H137" s="70"/>
      <c r="I137" s="146">
        <f>I109</f>
        <v>82.04</v>
      </c>
    </row>
    <row r="138" spans="1:9">
      <c r="A138" s="208" t="s">
        <v>131</v>
      </c>
      <c r="B138" s="209"/>
      <c r="C138" s="209"/>
      <c r="D138" s="209"/>
      <c r="E138" s="209"/>
      <c r="F138" s="209"/>
      <c r="G138" s="209"/>
      <c r="H138" s="210"/>
      <c r="I138" s="211">
        <f>SUM(I133:I137)</f>
        <v>5754.3286473505004</v>
      </c>
    </row>
    <row r="139" spans="1:9">
      <c r="A139" s="207" t="s">
        <v>29</v>
      </c>
      <c r="B139" s="68" t="s">
        <v>132</v>
      </c>
      <c r="C139" s="69"/>
      <c r="D139" s="69"/>
      <c r="E139" s="69"/>
      <c r="F139" s="69"/>
      <c r="G139" s="69"/>
      <c r="H139" s="70"/>
      <c r="I139" s="212">
        <f>I128</f>
        <v>954.45635100881009</v>
      </c>
    </row>
    <row r="140" spans="1:9">
      <c r="A140" s="208" t="s">
        <v>133</v>
      </c>
      <c r="B140" s="209"/>
      <c r="C140" s="209"/>
      <c r="D140" s="209"/>
      <c r="E140" s="209"/>
      <c r="F140" s="209"/>
      <c r="G140" s="209"/>
      <c r="H140" s="210"/>
      <c r="I140" s="213">
        <f>SUM(I138+I139)</f>
        <v>6708.7849983593105</v>
      </c>
    </row>
    <row r="141" spans="1:9">
      <c r="A141" s="214"/>
      <c r="B141" s="214"/>
      <c r="C141" s="214"/>
      <c r="D141" s="214"/>
      <c r="E141" s="214"/>
      <c r="F141" s="214"/>
      <c r="G141" s="214"/>
      <c r="H141" s="214"/>
      <c r="I141" s="215"/>
    </row>
  </sheetData>
  <mergeCells count="139">
    <mergeCell ref="B136:H136"/>
    <mergeCell ref="B137:H137"/>
    <mergeCell ref="A138:H138"/>
    <mergeCell ref="B139:H139"/>
    <mergeCell ref="A140:H140"/>
    <mergeCell ref="A130:I130"/>
    <mergeCell ref="A131:I131"/>
    <mergeCell ref="A132:H132"/>
    <mergeCell ref="B133:H133"/>
    <mergeCell ref="B134:H134"/>
    <mergeCell ref="B135:H135"/>
    <mergeCell ref="B124:G124"/>
    <mergeCell ref="B125:G125"/>
    <mergeCell ref="B126:G126"/>
    <mergeCell ref="A127:G127"/>
    <mergeCell ref="A128:G128"/>
    <mergeCell ref="A129:I129"/>
    <mergeCell ref="B118:G118"/>
    <mergeCell ref="B119:G119"/>
    <mergeCell ref="B120:G120"/>
    <mergeCell ref="B121:G121"/>
    <mergeCell ref="B122:G122"/>
    <mergeCell ref="B123:G123"/>
    <mergeCell ref="B107:H107"/>
    <mergeCell ref="B108:H108"/>
    <mergeCell ref="A109:H109"/>
    <mergeCell ref="A110:G115"/>
    <mergeCell ref="A116:I116"/>
    <mergeCell ref="B117:G117"/>
    <mergeCell ref="B101:G101"/>
    <mergeCell ref="A102:H102"/>
    <mergeCell ref="A103:I103"/>
    <mergeCell ref="A104:I104"/>
    <mergeCell ref="B105:H105"/>
    <mergeCell ref="B106:H106"/>
    <mergeCell ref="B95:H95"/>
    <mergeCell ref="B96:G96"/>
    <mergeCell ref="A97:H97"/>
    <mergeCell ref="A98:I98"/>
    <mergeCell ref="B99:H99"/>
    <mergeCell ref="B100:G100"/>
    <mergeCell ref="B89:G89"/>
    <mergeCell ref="B90:G90"/>
    <mergeCell ref="B91:G91"/>
    <mergeCell ref="B92:G92"/>
    <mergeCell ref="B93:G93"/>
    <mergeCell ref="A94:H94"/>
    <mergeCell ref="A80:H80"/>
    <mergeCell ref="A81:G84"/>
    <mergeCell ref="A85:I85"/>
    <mergeCell ref="A86:I86"/>
    <mergeCell ref="B87:G87"/>
    <mergeCell ref="B88:G88"/>
    <mergeCell ref="B74:G74"/>
    <mergeCell ref="B75:G75"/>
    <mergeCell ref="B76:G76"/>
    <mergeCell ref="B77:G77"/>
    <mergeCell ref="B78:G78"/>
    <mergeCell ref="B79:G79"/>
    <mergeCell ref="B68:H68"/>
    <mergeCell ref="B69:H69"/>
    <mergeCell ref="A70:H70"/>
    <mergeCell ref="A71:I71"/>
    <mergeCell ref="A72:I72"/>
    <mergeCell ref="B73:G73"/>
    <mergeCell ref="B62:G62"/>
    <mergeCell ref="B63:H63"/>
    <mergeCell ref="A64:I64"/>
    <mergeCell ref="A65:I65"/>
    <mergeCell ref="B66:H66"/>
    <mergeCell ref="B67:H67"/>
    <mergeCell ref="B56:G56"/>
    <mergeCell ref="B57:G57"/>
    <mergeCell ref="B58:G58"/>
    <mergeCell ref="B59:G59"/>
    <mergeCell ref="B60:G60"/>
    <mergeCell ref="B61:G61"/>
    <mergeCell ref="B50:G50"/>
    <mergeCell ref="A51:G51"/>
    <mergeCell ref="A52:I52"/>
    <mergeCell ref="A53:I53"/>
    <mergeCell ref="B54:H54"/>
    <mergeCell ref="B55:H55"/>
    <mergeCell ref="B44:G44"/>
    <mergeCell ref="B45:C45"/>
    <mergeCell ref="B46:G46"/>
    <mergeCell ref="B47:G47"/>
    <mergeCell ref="B48:G48"/>
    <mergeCell ref="B49:G49"/>
    <mergeCell ref="A36:G36"/>
    <mergeCell ref="A37:I37"/>
    <mergeCell ref="A38:G40"/>
    <mergeCell ref="A41:I41"/>
    <mergeCell ref="B42:G42"/>
    <mergeCell ref="B43:G43"/>
    <mergeCell ref="A30:H30"/>
    <mergeCell ref="A31:I31"/>
    <mergeCell ref="A32:I32"/>
    <mergeCell ref="B33:G33"/>
    <mergeCell ref="B34:G34"/>
    <mergeCell ref="B35:G35"/>
    <mergeCell ref="B24:G24"/>
    <mergeCell ref="B25:G25"/>
    <mergeCell ref="B26:G26"/>
    <mergeCell ref="B27:G27"/>
    <mergeCell ref="B28:G28"/>
    <mergeCell ref="B29:G29"/>
    <mergeCell ref="B19:G19"/>
    <mergeCell ref="H19:I19"/>
    <mergeCell ref="A20:I20"/>
    <mergeCell ref="A21:I21"/>
    <mergeCell ref="B22:G22"/>
    <mergeCell ref="B23:H23"/>
    <mergeCell ref="B16:G16"/>
    <mergeCell ref="H16:I16"/>
    <mergeCell ref="B17:G17"/>
    <mergeCell ref="H17:I17"/>
    <mergeCell ref="B18:G18"/>
    <mergeCell ref="H18:I18"/>
    <mergeCell ref="A11:I11"/>
    <mergeCell ref="A12:I12"/>
    <mergeCell ref="A13:I13"/>
    <mergeCell ref="A14:I14"/>
    <mergeCell ref="B15:G15"/>
    <mergeCell ref="H15:I15"/>
    <mergeCell ref="B8:G8"/>
    <mergeCell ref="H8:I8"/>
    <mergeCell ref="B9:G9"/>
    <mergeCell ref="H9:I9"/>
    <mergeCell ref="K9:L9"/>
    <mergeCell ref="B10:G10"/>
    <mergeCell ref="H10:I10"/>
    <mergeCell ref="A1:I1"/>
    <mergeCell ref="A2:I2"/>
    <mergeCell ref="A3:I3"/>
    <mergeCell ref="A5:I5"/>
    <mergeCell ref="A6:I6"/>
    <mergeCell ref="B7:G7"/>
    <mergeCell ref="H7:I7"/>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1"/>
  <sheetViews>
    <sheetView topLeftCell="A7" workbookViewId="0">
      <selection activeCell="H19" sqref="H19:I19"/>
    </sheetView>
  </sheetViews>
  <sheetFormatPr defaultColWidth="9.109375" defaultRowHeight="13.2"/>
  <cols>
    <col min="1" max="2" width="13.6640625" style="55" customWidth="1"/>
    <col min="3" max="3" width="16.6640625" style="55" customWidth="1"/>
    <col min="4" max="4" width="14.6640625" style="55" customWidth="1"/>
    <col min="5" max="5" width="12.44140625" style="55" customWidth="1"/>
    <col min="6" max="6" width="13.109375" style="55" bestFit="1" customWidth="1"/>
    <col min="7" max="7" width="12.33203125" style="55" customWidth="1"/>
    <col min="8" max="8" width="20.44140625" style="55" customWidth="1"/>
    <col min="9" max="9" width="23.88671875" style="55" customWidth="1"/>
    <col min="10" max="10" width="9.109375" style="55"/>
    <col min="11" max="11" width="14.33203125" style="55" bestFit="1" customWidth="1"/>
    <col min="12" max="12" width="9.44140625" style="55" bestFit="1" customWidth="1"/>
    <col min="13" max="13" width="11" style="55" bestFit="1" customWidth="1"/>
    <col min="14" max="14" width="9.109375" style="55"/>
    <col min="15" max="15" width="11.109375" style="55" customWidth="1"/>
    <col min="16" max="18" width="9.109375" style="55"/>
    <col min="19" max="19" width="9.44140625" style="55" bestFit="1" customWidth="1"/>
    <col min="20" max="16384" width="9.109375" style="55"/>
  </cols>
  <sheetData>
    <row r="1" spans="1:12" ht="61.5" customHeight="1">
      <c r="A1" s="53" t="s">
        <v>38</v>
      </c>
      <c r="B1" s="54"/>
      <c r="C1" s="54"/>
      <c r="D1" s="54"/>
      <c r="E1" s="54"/>
      <c r="F1" s="54"/>
      <c r="G1" s="54"/>
      <c r="H1" s="54"/>
      <c r="I1" s="54"/>
    </row>
    <row r="2" spans="1:12" ht="12.75" customHeight="1">
      <c r="A2" s="10" t="s">
        <v>381</v>
      </c>
      <c r="B2" s="10"/>
      <c r="C2" s="10"/>
      <c r="D2" s="10"/>
      <c r="E2" s="10"/>
      <c r="F2" s="10"/>
      <c r="G2" s="10"/>
      <c r="H2" s="10"/>
      <c r="I2" s="10"/>
    </row>
    <row r="3" spans="1:12" ht="12.75" customHeight="1">
      <c r="A3" s="10" t="s">
        <v>382</v>
      </c>
      <c r="B3" s="10"/>
      <c r="C3" s="10"/>
      <c r="D3" s="10"/>
      <c r="E3" s="10"/>
      <c r="F3" s="10"/>
      <c r="G3" s="10"/>
      <c r="H3" s="10"/>
      <c r="I3" s="10"/>
    </row>
    <row r="4" spans="1:12" ht="12.75" customHeight="1">
      <c r="A4" s="56"/>
      <c r="B4" s="56"/>
      <c r="C4" s="56"/>
      <c r="D4" s="56"/>
      <c r="E4" s="56"/>
      <c r="F4" s="56"/>
      <c r="G4" s="56"/>
      <c r="H4" s="56"/>
      <c r="I4" s="56"/>
    </row>
    <row r="5" spans="1:12" ht="12.75" customHeight="1">
      <c r="A5" s="57"/>
      <c r="B5" s="57"/>
      <c r="C5" s="57"/>
      <c r="D5" s="57"/>
      <c r="E5" s="57"/>
      <c r="F5" s="57"/>
      <c r="G5" s="57"/>
      <c r="H5" s="57"/>
      <c r="I5" s="57"/>
    </row>
    <row r="6" spans="1:12" ht="21" customHeight="1">
      <c r="A6" s="58" t="s">
        <v>39</v>
      </c>
      <c r="B6" s="59"/>
      <c r="C6" s="59"/>
      <c r="D6" s="59"/>
      <c r="E6" s="59"/>
      <c r="F6" s="59"/>
      <c r="G6" s="59"/>
      <c r="H6" s="59"/>
      <c r="I6" s="60"/>
    </row>
    <row r="7" spans="1:12">
      <c r="A7" s="61" t="s">
        <v>4</v>
      </c>
      <c r="B7" s="62" t="s">
        <v>40</v>
      </c>
      <c r="C7" s="63"/>
      <c r="D7" s="63"/>
      <c r="E7" s="63"/>
      <c r="F7" s="63"/>
      <c r="G7" s="64"/>
      <c r="H7" s="65" t="s">
        <v>41</v>
      </c>
      <c r="I7" s="66"/>
    </row>
    <row r="8" spans="1:12">
      <c r="A8" s="67" t="s">
        <v>6</v>
      </c>
      <c r="B8" s="68" t="s">
        <v>42</v>
      </c>
      <c r="C8" s="69"/>
      <c r="D8" s="69"/>
      <c r="E8" s="69"/>
      <c r="F8" s="69"/>
      <c r="G8" s="70"/>
      <c r="H8" s="71" t="s">
        <v>43</v>
      </c>
      <c r="I8" s="72"/>
    </row>
    <row r="9" spans="1:12" ht="37.5" customHeight="1">
      <c r="A9" s="67" t="s">
        <v>8</v>
      </c>
      <c r="B9" s="68" t="s">
        <v>44</v>
      </c>
      <c r="C9" s="69"/>
      <c r="D9" s="69"/>
      <c r="E9" s="69"/>
      <c r="F9" s="69"/>
      <c r="G9" s="70"/>
      <c r="H9" s="73" t="s">
        <v>384</v>
      </c>
      <c r="I9" s="74"/>
      <c r="K9" s="73"/>
      <c r="L9" s="74"/>
    </row>
    <row r="10" spans="1:12">
      <c r="A10" s="67" t="s">
        <v>10</v>
      </c>
      <c r="B10" s="68" t="s">
        <v>45</v>
      </c>
      <c r="C10" s="69"/>
      <c r="D10" s="69"/>
      <c r="E10" s="69"/>
      <c r="F10" s="69"/>
      <c r="G10" s="70"/>
      <c r="H10" s="71">
        <v>12</v>
      </c>
      <c r="I10" s="72"/>
    </row>
    <row r="11" spans="1:12">
      <c r="A11" s="68" t="s">
        <v>46</v>
      </c>
      <c r="B11" s="69"/>
      <c r="C11" s="69"/>
      <c r="D11" s="69"/>
      <c r="E11" s="69"/>
      <c r="F11" s="69"/>
      <c r="G11" s="69"/>
      <c r="H11" s="69"/>
      <c r="I11" s="70"/>
    </row>
    <row r="12" spans="1:12">
      <c r="A12" s="75"/>
      <c r="B12" s="76"/>
      <c r="C12" s="76"/>
      <c r="D12" s="76"/>
      <c r="E12" s="76"/>
      <c r="F12" s="76"/>
      <c r="G12" s="76"/>
      <c r="H12" s="76"/>
      <c r="I12" s="77"/>
    </row>
    <row r="13" spans="1:12">
      <c r="A13" s="29" t="s">
        <v>47</v>
      </c>
      <c r="B13" s="30"/>
      <c r="C13" s="30"/>
      <c r="D13" s="30"/>
      <c r="E13" s="30"/>
      <c r="F13" s="30"/>
      <c r="G13" s="30"/>
      <c r="H13" s="30"/>
      <c r="I13" s="31"/>
    </row>
    <row r="14" spans="1:12">
      <c r="A14" s="5" t="s">
        <v>48</v>
      </c>
      <c r="B14" s="6"/>
      <c r="C14" s="6"/>
      <c r="D14" s="6"/>
      <c r="E14" s="6"/>
      <c r="F14" s="6"/>
      <c r="G14" s="6"/>
      <c r="H14" s="6"/>
      <c r="I14" s="7"/>
    </row>
    <row r="15" spans="1:12" ht="42" customHeight="1">
      <c r="A15" s="67">
        <v>1</v>
      </c>
      <c r="B15" s="68" t="s">
        <v>49</v>
      </c>
      <c r="C15" s="69"/>
      <c r="D15" s="69"/>
      <c r="E15" s="69"/>
      <c r="F15" s="69"/>
      <c r="G15" s="70"/>
      <c r="H15" s="78" t="s">
        <v>400</v>
      </c>
      <c r="I15" s="79"/>
    </row>
    <row r="16" spans="1:12">
      <c r="A16" s="67">
        <v>2</v>
      </c>
      <c r="B16" s="68" t="s">
        <v>51</v>
      </c>
      <c r="C16" s="69"/>
      <c r="D16" s="69"/>
      <c r="E16" s="69"/>
      <c r="F16" s="69"/>
      <c r="G16" s="70"/>
      <c r="H16" s="80"/>
      <c r="I16" s="81"/>
    </row>
    <row r="17" spans="1:13">
      <c r="A17" s="67">
        <v>3</v>
      </c>
      <c r="B17" s="68" t="s">
        <v>53</v>
      </c>
      <c r="C17" s="69"/>
      <c r="D17" s="69"/>
      <c r="E17" s="69"/>
      <c r="F17" s="69"/>
      <c r="G17" s="70"/>
      <c r="H17" s="80">
        <v>1793.97</v>
      </c>
      <c r="I17" s="81"/>
    </row>
    <row r="18" spans="1:13">
      <c r="A18" s="67">
        <v>4</v>
      </c>
      <c r="B18" s="68" t="s">
        <v>54</v>
      </c>
      <c r="C18" s="69"/>
      <c r="D18" s="69"/>
      <c r="E18" s="69"/>
      <c r="F18" s="69"/>
      <c r="G18" s="70"/>
      <c r="H18" s="80" t="s">
        <v>350</v>
      </c>
      <c r="I18" s="81"/>
    </row>
    <row r="19" spans="1:13">
      <c r="A19" s="42">
        <v>5</v>
      </c>
      <c r="B19" s="68" t="s">
        <v>56</v>
      </c>
      <c r="C19" s="69"/>
      <c r="D19" s="69"/>
      <c r="E19" s="69"/>
      <c r="F19" s="69"/>
      <c r="G19" s="70"/>
      <c r="H19" s="82" t="s">
        <v>57</v>
      </c>
      <c r="I19" s="83"/>
    </row>
    <row r="20" spans="1:13">
      <c r="A20" s="84"/>
      <c r="B20" s="85"/>
      <c r="C20" s="85"/>
      <c r="D20" s="85"/>
      <c r="E20" s="85"/>
      <c r="F20" s="85"/>
      <c r="G20" s="85"/>
      <c r="H20" s="85"/>
      <c r="I20" s="86"/>
    </row>
    <row r="21" spans="1:13">
      <c r="A21" s="29" t="s">
        <v>58</v>
      </c>
      <c r="B21" s="30"/>
      <c r="C21" s="30"/>
      <c r="D21" s="30"/>
      <c r="E21" s="30"/>
      <c r="F21" s="30"/>
      <c r="G21" s="30"/>
      <c r="H21" s="30"/>
      <c r="I21" s="31"/>
    </row>
    <row r="22" spans="1:13">
      <c r="A22" s="4">
        <v>1</v>
      </c>
      <c r="B22" s="5" t="s">
        <v>59</v>
      </c>
      <c r="C22" s="6"/>
      <c r="D22" s="6"/>
      <c r="E22" s="6"/>
      <c r="F22" s="6"/>
      <c r="G22" s="7"/>
      <c r="H22" s="4" t="s">
        <v>60</v>
      </c>
      <c r="I22" s="8" t="s">
        <v>3</v>
      </c>
    </row>
    <row r="23" spans="1:13">
      <c r="A23" s="67" t="s">
        <v>4</v>
      </c>
      <c r="B23" s="68" t="s">
        <v>61</v>
      </c>
      <c r="C23" s="69"/>
      <c r="D23" s="69"/>
      <c r="E23" s="69"/>
      <c r="F23" s="69"/>
      <c r="G23" s="69"/>
      <c r="H23" s="70"/>
      <c r="I23" s="40">
        <f>H17</f>
        <v>1793.97</v>
      </c>
    </row>
    <row r="24" spans="1:13">
      <c r="A24" s="67" t="s">
        <v>6</v>
      </c>
      <c r="B24" s="87" t="s">
        <v>62</v>
      </c>
      <c r="C24" s="88"/>
      <c r="D24" s="88"/>
      <c r="E24" s="88"/>
      <c r="F24" s="88"/>
      <c r="G24" s="89"/>
      <c r="H24" s="90"/>
      <c r="I24" s="12"/>
      <c r="M24" s="91"/>
    </row>
    <row r="25" spans="1:13">
      <c r="A25" s="67" t="s">
        <v>8</v>
      </c>
      <c r="B25" s="92" t="s">
        <v>63</v>
      </c>
      <c r="C25" s="93"/>
      <c r="D25" s="93"/>
      <c r="E25" s="93"/>
      <c r="F25" s="93"/>
      <c r="G25" s="94"/>
      <c r="H25" s="95"/>
      <c r="I25" s="96"/>
    </row>
    <row r="26" spans="1:13" ht="14.4">
      <c r="A26" s="67"/>
      <c r="B26" s="97" t="s">
        <v>64</v>
      </c>
      <c r="C26" s="98"/>
      <c r="D26" s="98"/>
      <c r="E26" s="98"/>
      <c r="F26" s="98"/>
      <c r="G26" s="99"/>
      <c r="H26" s="95"/>
      <c r="I26" s="96"/>
    </row>
    <row r="27" spans="1:13">
      <c r="A27" s="67" t="s">
        <v>10</v>
      </c>
      <c r="B27" s="10" t="s">
        <v>65</v>
      </c>
      <c r="C27" s="10"/>
      <c r="D27" s="10"/>
      <c r="E27" s="10"/>
      <c r="F27" s="10"/>
      <c r="G27" s="10"/>
      <c r="H27" s="67"/>
      <c r="I27" s="12"/>
    </row>
    <row r="28" spans="1:13">
      <c r="A28" s="67" t="s">
        <v>12</v>
      </c>
      <c r="B28" s="10" t="s">
        <v>66</v>
      </c>
      <c r="C28" s="10"/>
      <c r="D28" s="10"/>
      <c r="E28" s="10"/>
      <c r="F28" s="10"/>
      <c r="G28" s="10"/>
      <c r="H28" s="100"/>
      <c r="I28" s="12"/>
    </row>
    <row r="29" spans="1:13">
      <c r="A29" s="101" t="s">
        <v>29</v>
      </c>
      <c r="B29" s="10" t="s">
        <v>67</v>
      </c>
      <c r="C29" s="10"/>
      <c r="D29" s="10"/>
      <c r="E29" s="10"/>
      <c r="F29" s="10"/>
      <c r="G29" s="10"/>
      <c r="H29" s="100"/>
      <c r="I29" s="12"/>
    </row>
    <row r="30" spans="1:13">
      <c r="A30" s="102" t="s">
        <v>14</v>
      </c>
      <c r="B30" s="103"/>
      <c r="C30" s="103"/>
      <c r="D30" s="103"/>
      <c r="E30" s="103"/>
      <c r="F30" s="103"/>
      <c r="G30" s="103"/>
      <c r="H30" s="104"/>
      <c r="I30" s="105">
        <f>SUM(I23:I29)</f>
        <v>1793.97</v>
      </c>
    </row>
    <row r="31" spans="1:13" ht="32.25" customHeight="1">
      <c r="A31" s="106" t="s">
        <v>68</v>
      </c>
      <c r="B31" s="107"/>
      <c r="C31" s="107"/>
      <c r="D31" s="107"/>
      <c r="E31" s="107"/>
      <c r="F31" s="107"/>
      <c r="G31" s="107"/>
      <c r="H31" s="107"/>
      <c r="I31" s="108"/>
    </row>
    <row r="32" spans="1:13">
      <c r="A32" s="1" t="s">
        <v>69</v>
      </c>
      <c r="B32" s="2"/>
      <c r="C32" s="2"/>
      <c r="D32" s="2"/>
      <c r="E32" s="2"/>
      <c r="F32" s="2"/>
      <c r="G32" s="2"/>
      <c r="H32" s="2"/>
      <c r="I32" s="3"/>
    </row>
    <row r="33" spans="1:16">
      <c r="A33" s="50" t="s">
        <v>70</v>
      </c>
      <c r="B33" s="58" t="s">
        <v>71</v>
      </c>
      <c r="C33" s="59"/>
      <c r="D33" s="59"/>
      <c r="E33" s="59"/>
      <c r="F33" s="59"/>
      <c r="G33" s="59"/>
      <c r="H33" s="109" t="s">
        <v>23</v>
      </c>
      <c r="I33" s="51" t="s">
        <v>3</v>
      </c>
    </row>
    <row r="34" spans="1:16" ht="29.25" customHeight="1">
      <c r="A34" s="9" t="s">
        <v>4</v>
      </c>
      <c r="B34" s="110" t="s">
        <v>72</v>
      </c>
      <c r="C34" s="69"/>
      <c r="D34" s="69"/>
      <c r="E34" s="69"/>
      <c r="F34" s="69"/>
      <c r="G34" s="70"/>
      <c r="H34" s="111">
        <v>8.3333333333333329E-2</v>
      </c>
      <c r="I34" s="12">
        <f>TRUNC($I$30*H34,2)</f>
        <v>149.49</v>
      </c>
    </row>
    <row r="35" spans="1:16" ht="37.799999999999997" customHeight="1">
      <c r="A35" s="9" t="s">
        <v>73</v>
      </c>
      <c r="B35" s="216" t="s">
        <v>134</v>
      </c>
      <c r="C35" s="69"/>
      <c r="D35" s="69"/>
      <c r="E35" s="69"/>
      <c r="F35" s="69"/>
      <c r="G35" s="70"/>
      <c r="H35" s="112">
        <v>0.121</v>
      </c>
      <c r="I35" s="12">
        <f>TRUNC($I$30*H35,2)</f>
        <v>217.07</v>
      </c>
    </row>
    <row r="36" spans="1:16">
      <c r="A36" s="18" t="s">
        <v>14</v>
      </c>
      <c r="B36" s="19"/>
      <c r="C36" s="19"/>
      <c r="D36" s="19"/>
      <c r="E36" s="19"/>
      <c r="F36" s="19"/>
      <c r="G36" s="20"/>
      <c r="H36" s="113">
        <f>SUM(H34:H35)</f>
        <v>0.20433333333333331</v>
      </c>
      <c r="I36" s="21">
        <f>SUM(I34:I35)</f>
        <v>366.56</v>
      </c>
    </row>
    <row r="37" spans="1:16" ht="132.75" customHeight="1">
      <c r="A37" s="114" t="s">
        <v>74</v>
      </c>
      <c r="B37" s="115"/>
      <c r="C37" s="115"/>
      <c r="D37" s="115"/>
      <c r="E37" s="115"/>
      <c r="F37" s="115"/>
      <c r="G37" s="115"/>
      <c r="H37" s="115"/>
      <c r="I37" s="116"/>
    </row>
    <row r="38" spans="1:16">
      <c r="A38" s="219" t="s">
        <v>75</v>
      </c>
      <c r="B38" s="220"/>
      <c r="C38" s="220"/>
      <c r="D38" s="220"/>
      <c r="E38" s="220"/>
      <c r="F38" s="220"/>
      <c r="G38" s="221"/>
      <c r="H38" s="117" t="s">
        <v>16</v>
      </c>
      <c r="I38" s="118">
        <f>I30</f>
        <v>1793.97</v>
      </c>
    </row>
    <row r="39" spans="1:16">
      <c r="A39" s="222"/>
      <c r="B39" s="223"/>
      <c r="C39" s="223"/>
      <c r="D39" s="223"/>
      <c r="E39" s="223"/>
      <c r="F39" s="223"/>
      <c r="G39" s="224"/>
      <c r="H39" s="117" t="s">
        <v>76</v>
      </c>
      <c r="I39" s="118">
        <f>I36</f>
        <v>366.56</v>
      </c>
    </row>
    <row r="40" spans="1:16">
      <c r="A40" s="225"/>
      <c r="B40" s="226"/>
      <c r="C40" s="226"/>
      <c r="D40" s="226"/>
      <c r="E40" s="226"/>
      <c r="F40" s="226"/>
      <c r="G40" s="227"/>
      <c r="H40" s="117" t="s">
        <v>14</v>
      </c>
      <c r="I40" s="118">
        <f>SUM(I38:I39)</f>
        <v>2160.5300000000002</v>
      </c>
    </row>
    <row r="41" spans="1:16" ht="32.25" customHeight="1">
      <c r="A41" s="58" t="s">
        <v>77</v>
      </c>
      <c r="B41" s="119"/>
      <c r="C41" s="119"/>
      <c r="D41" s="119"/>
      <c r="E41" s="119"/>
      <c r="F41" s="119"/>
      <c r="G41" s="119"/>
      <c r="H41" s="119"/>
      <c r="I41" s="120"/>
    </row>
    <row r="42" spans="1:16" ht="12.75" customHeight="1">
      <c r="A42" s="121" t="s">
        <v>78</v>
      </c>
      <c r="B42" s="5" t="s">
        <v>79</v>
      </c>
      <c r="C42" s="6"/>
      <c r="D42" s="6"/>
      <c r="E42" s="6"/>
      <c r="F42" s="6"/>
      <c r="G42" s="7"/>
      <c r="H42" s="109" t="s">
        <v>23</v>
      </c>
      <c r="I42" s="122" t="s">
        <v>3</v>
      </c>
      <c r="M42" s="91"/>
    </row>
    <row r="43" spans="1:16" ht="13.8">
      <c r="A43" s="123" t="s">
        <v>4</v>
      </c>
      <c r="B43" s="110" t="s">
        <v>80</v>
      </c>
      <c r="C43" s="69"/>
      <c r="D43" s="69"/>
      <c r="E43" s="69"/>
      <c r="F43" s="69"/>
      <c r="G43" s="70"/>
      <c r="H43" s="217">
        <v>0.2</v>
      </c>
      <c r="I43" s="12">
        <f>TRUNC(I40*H43,2)</f>
        <v>432.1</v>
      </c>
    </row>
    <row r="44" spans="1:16" ht="13.8">
      <c r="A44" s="123" t="s">
        <v>6</v>
      </c>
      <c r="B44" s="110" t="s">
        <v>81</v>
      </c>
      <c r="C44" s="69"/>
      <c r="D44" s="124"/>
      <c r="E44" s="124"/>
      <c r="F44" s="124"/>
      <c r="G44" s="125"/>
      <c r="H44" s="217">
        <v>2.5000000000000001E-2</v>
      </c>
      <c r="I44" s="12">
        <f>TRUNC(I40*H44,2)</f>
        <v>54.01</v>
      </c>
    </row>
    <row r="45" spans="1:16" ht="35.25" customHeight="1">
      <c r="A45" s="123" t="s">
        <v>8</v>
      </c>
      <c r="B45" s="110" t="s">
        <v>82</v>
      </c>
      <c r="C45" s="126"/>
      <c r="D45" s="127" t="s">
        <v>135</v>
      </c>
      <c r="E45" s="128"/>
      <c r="F45" s="127" t="s">
        <v>136</v>
      </c>
      <c r="G45" s="128"/>
      <c r="H45" s="218">
        <v>1.4999999999999999E-2</v>
      </c>
      <c r="I45" s="12">
        <f>TRUNC(I40*H45,2)</f>
        <v>32.4</v>
      </c>
    </row>
    <row r="46" spans="1:16" ht="13.8">
      <c r="A46" s="123" t="s">
        <v>10</v>
      </c>
      <c r="B46" s="110" t="s">
        <v>83</v>
      </c>
      <c r="C46" s="69"/>
      <c r="D46" s="129"/>
      <c r="E46" s="129"/>
      <c r="F46" s="129"/>
      <c r="G46" s="130"/>
      <c r="H46" s="217">
        <v>1.4999999999999999E-2</v>
      </c>
      <c r="I46" s="12">
        <f>TRUNC(I40*H46,2)</f>
        <v>32.4</v>
      </c>
    </row>
    <row r="47" spans="1:16" ht="13.8">
      <c r="A47" s="123" t="s">
        <v>12</v>
      </c>
      <c r="B47" s="110" t="s">
        <v>84</v>
      </c>
      <c r="C47" s="69"/>
      <c r="D47" s="69"/>
      <c r="E47" s="69"/>
      <c r="F47" s="69"/>
      <c r="G47" s="70"/>
      <c r="H47" s="217">
        <v>0.01</v>
      </c>
      <c r="I47" s="12">
        <f>TRUNC(I40*H47,2)</f>
        <v>21.6</v>
      </c>
    </row>
    <row r="48" spans="1:16" ht="13.8">
      <c r="A48" s="123" t="s">
        <v>29</v>
      </c>
      <c r="B48" s="110" t="s">
        <v>85</v>
      </c>
      <c r="C48" s="69"/>
      <c r="D48" s="69"/>
      <c r="E48" s="69"/>
      <c r="F48" s="69"/>
      <c r="G48" s="70"/>
      <c r="H48" s="217">
        <v>6.0000000000000001E-3</v>
      </c>
      <c r="I48" s="12">
        <f>TRUNC(I40*H48,2)</f>
        <v>12.96</v>
      </c>
      <c r="K48" s="91"/>
      <c r="L48" s="91"/>
      <c r="M48" s="91"/>
      <c r="O48" s="91"/>
      <c r="P48" s="131"/>
    </row>
    <row r="49" spans="1:12" ht="13.8">
      <c r="A49" s="123" t="s">
        <v>86</v>
      </c>
      <c r="B49" s="110" t="s">
        <v>87</v>
      </c>
      <c r="C49" s="69"/>
      <c r="D49" s="69"/>
      <c r="E49" s="69"/>
      <c r="F49" s="69"/>
      <c r="G49" s="70"/>
      <c r="H49" s="217">
        <v>2E-3</v>
      </c>
      <c r="I49" s="12">
        <f>TRUNC(I40*H49,2)</f>
        <v>4.32</v>
      </c>
    </row>
    <row r="50" spans="1:12" ht="13.8">
      <c r="A50" s="132" t="s">
        <v>88</v>
      </c>
      <c r="B50" s="68" t="s">
        <v>89</v>
      </c>
      <c r="C50" s="69"/>
      <c r="D50" s="69"/>
      <c r="E50" s="69"/>
      <c r="F50" s="69"/>
      <c r="G50" s="70"/>
      <c r="H50" s="217">
        <v>0.08</v>
      </c>
      <c r="I50" s="133">
        <f>TRUNC(I40*H50,2)</f>
        <v>172.84</v>
      </c>
    </row>
    <row r="51" spans="1:12">
      <c r="A51" s="134" t="s">
        <v>32</v>
      </c>
      <c r="B51" s="135"/>
      <c r="C51" s="135"/>
      <c r="D51" s="135"/>
      <c r="E51" s="135"/>
      <c r="F51" s="135"/>
      <c r="G51" s="136"/>
      <c r="H51" s="113">
        <f>SUM(H43:H49,H50)</f>
        <v>0.35300000000000004</v>
      </c>
      <c r="I51" s="21">
        <f>SUM(I43:I50)</f>
        <v>762.63000000000011</v>
      </c>
    </row>
    <row r="52" spans="1:12" ht="76.5" customHeight="1">
      <c r="A52" s="114" t="s">
        <v>90</v>
      </c>
      <c r="B52" s="115"/>
      <c r="C52" s="115"/>
      <c r="D52" s="115"/>
      <c r="E52" s="115"/>
      <c r="F52" s="115"/>
      <c r="G52" s="115"/>
      <c r="H52" s="115"/>
      <c r="I52" s="116"/>
    </row>
    <row r="53" spans="1:12">
      <c r="A53" s="137" t="s">
        <v>91</v>
      </c>
      <c r="B53" s="36"/>
      <c r="C53" s="36"/>
      <c r="D53" s="36"/>
      <c r="E53" s="36"/>
      <c r="F53" s="36"/>
      <c r="G53" s="36"/>
      <c r="H53" s="36"/>
      <c r="I53" s="36"/>
    </row>
    <row r="54" spans="1:12">
      <c r="A54" s="138" t="s">
        <v>92</v>
      </c>
      <c r="B54" s="139" t="s">
        <v>93</v>
      </c>
      <c r="C54" s="140"/>
      <c r="D54" s="140"/>
      <c r="E54" s="140"/>
      <c r="F54" s="140"/>
      <c r="G54" s="140"/>
      <c r="H54" s="141"/>
      <c r="I54" s="142" t="s">
        <v>3</v>
      </c>
    </row>
    <row r="55" spans="1:12" ht="30.75" customHeight="1">
      <c r="A55" s="9" t="s">
        <v>4</v>
      </c>
      <c r="B55" s="143" t="s">
        <v>94</v>
      </c>
      <c r="C55" s="144"/>
      <c r="D55" s="144"/>
      <c r="E55" s="144"/>
      <c r="F55" s="144"/>
      <c r="G55" s="144"/>
      <c r="H55" s="145"/>
      <c r="I55" s="146">
        <f>I57-I58</f>
        <v>81.561799999999991</v>
      </c>
      <c r="J55" s="147"/>
    </row>
    <row r="56" spans="1:12" ht="12.75" customHeight="1">
      <c r="A56" s="9"/>
      <c r="B56" s="148" t="s">
        <v>95</v>
      </c>
      <c r="C56" s="149"/>
      <c r="D56" s="149"/>
      <c r="E56" s="149"/>
      <c r="F56" s="149"/>
      <c r="G56" s="150"/>
      <c r="H56" s="151">
        <f>'[1]BASE-Tarifas de Passagens'!F4</f>
        <v>4.3</v>
      </c>
      <c r="I56" s="40" t="s">
        <v>96</v>
      </c>
    </row>
    <row r="57" spans="1:12" ht="12.75" customHeight="1">
      <c r="A57" s="152"/>
      <c r="B57" s="148" t="s">
        <v>97</v>
      </c>
      <c r="C57" s="149"/>
      <c r="D57" s="149"/>
      <c r="E57" s="149"/>
      <c r="F57" s="149"/>
      <c r="G57" s="150"/>
      <c r="H57" s="153">
        <v>44</v>
      </c>
      <c r="I57" s="154">
        <f>H57*H56</f>
        <v>189.2</v>
      </c>
    </row>
    <row r="58" spans="1:12" ht="12.75" customHeight="1">
      <c r="A58" s="9"/>
      <c r="B58" s="148" t="s">
        <v>98</v>
      </c>
      <c r="C58" s="149"/>
      <c r="D58" s="149"/>
      <c r="E58" s="149"/>
      <c r="F58" s="149"/>
      <c r="G58" s="150"/>
      <c r="H58" s="155">
        <v>0.06</v>
      </c>
      <c r="I58" s="40">
        <f>H58*I30</f>
        <v>107.6382</v>
      </c>
    </row>
    <row r="59" spans="1:12" ht="30.75" customHeight="1">
      <c r="A59" s="9" t="s">
        <v>6</v>
      </c>
      <c r="B59" s="156" t="s">
        <v>99</v>
      </c>
      <c r="C59" s="10"/>
      <c r="D59" s="10"/>
      <c r="E59" s="10"/>
      <c r="F59" s="10"/>
      <c r="G59" s="10"/>
      <c r="H59" s="67">
        <v>18.2</v>
      </c>
      <c r="I59" s="40">
        <f>L59</f>
        <v>356.35599999999999</v>
      </c>
      <c r="J59" s="228">
        <f>H59*22</f>
        <v>400.4</v>
      </c>
      <c r="K59" s="229">
        <f>J59*11%</f>
        <v>44.043999999999997</v>
      </c>
      <c r="L59" s="230">
        <f>J59-K59</f>
        <v>356.35599999999999</v>
      </c>
    </row>
    <row r="60" spans="1:12" ht="12.75" customHeight="1">
      <c r="A60" s="9" t="s">
        <v>8</v>
      </c>
      <c r="B60" s="156" t="s">
        <v>100</v>
      </c>
      <c r="C60" s="10"/>
      <c r="D60" s="10"/>
      <c r="E60" s="10"/>
      <c r="F60" s="10"/>
      <c r="G60" s="10"/>
      <c r="H60" s="100"/>
      <c r="I60" s="40">
        <v>16</v>
      </c>
      <c r="J60" s="157"/>
    </row>
    <row r="61" spans="1:12" ht="12.75" customHeight="1">
      <c r="A61" s="9" t="s">
        <v>12</v>
      </c>
      <c r="B61" s="156" t="s">
        <v>101</v>
      </c>
      <c r="C61" s="10"/>
      <c r="D61" s="10"/>
      <c r="E61" s="10"/>
      <c r="F61" s="10"/>
      <c r="G61" s="10"/>
      <c r="H61" s="100"/>
      <c r="I61" s="146">
        <v>2.54</v>
      </c>
    </row>
    <row r="62" spans="1:12" ht="12.75" customHeight="1">
      <c r="A62" s="9" t="s">
        <v>29</v>
      </c>
      <c r="B62" s="110" t="s">
        <v>137</v>
      </c>
      <c r="C62" s="231"/>
      <c r="D62" s="231"/>
      <c r="E62" s="231"/>
      <c r="F62" s="231"/>
      <c r="G62" s="231"/>
      <c r="H62" s="100"/>
      <c r="I62" s="146">
        <v>3.5</v>
      </c>
    </row>
    <row r="63" spans="1:12">
      <c r="A63" s="158"/>
      <c r="B63" s="18" t="s">
        <v>32</v>
      </c>
      <c r="C63" s="19"/>
      <c r="D63" s="19"/>
      <c r="E63" s="19"/>
      <c r="F63" s="19"/>
      <c r="G63" s="19"/>
      <c r="H63" s="20"/>
      <c r="I63" s="21">
        <f>SUM(I55,I59,I60,I61,I62)</f>
        <v>459.95780000000002</v>
      </c>
    </row>
    <row r="64" spans="1:12" ht="54.75" customHeight="1">
      <c r="A64" s="159" t="s">
        <v>102</v>
      </c>
      <c r="B64" s="160"/>
      <c r="C64" s="160"/>
      <c r="D64" s="160"/>
      <c r="E64" s="160"/>
      <c r="F64" s="160"/>
      <c r="G64" s="160"/>
      <c r="H64" s="160"/>
      <c r="I64" s="161"/>
    </row>
    <row r="65" spans="1:9">
      <c r="A65" s="1" t="s">
        <v>103</v>
      </c>
      <c r="B65" s="2"/>
      <c r="C65" s="2"/>
      <c r="D65" s="2"/>
      <c r="E65" s="2"/>
      <c r="F65" s="2"/>
      <c r="G65" s="2"/>
      <c r="H65" s="2"/>
      <c r="I65" s="3"/>
    </row>
    <row r="66" spans="1:9">
      <c r="A66" s="162">
        <v>2</v>
      </c>
      <c r="B66" s="163" t="s">
        <v>104</v>
      </c>
      <c r="C66" s="164"/>
      <c r="D66" s="164"/>
      <c r="E66" s="164"/>
      <c r="F66" s="164"/>
      <c r="G66" s="164"/>
      <c r="H66" s="165"/>
      <c r="I66" s="166" t="s">
        <v>3</v>
      </c>
    </row>
    <row r="67" spans="1:9">
      <c r="A67" s="9" t="s">
        <v>70</v>
      </c>
      <c r="B67" s="68" t="s">
        <v>71</v>
      </c>
      <c r="C67" s="69"/>
      <c r="D67" s="69"/>
      <c r="E67" s="69"/>
      <c r="F67" s="69"/>
      <c r="G67" s="69"/>
      <c r="H67" s="70"/>
      <c r="I67" s="40">
        <f>I36</f>
        <v>366.56</v>
      </c>
    </row>
    <row r="68" spans="1:9">
      <c r="A68" s="9" t="s">
        <v>78</v>
      </c>
      <c r="B68" s="68" t="s">
        <v>79</v>
      </c>
      <c r="C68" s="69"/>
      <c r="D68" s="69"/>
      <c r="E68" s="69"/>
      <c r="F68" s="69"/>
      <c r="G68" s="69"/>
      <c r="H68" s="70"/>
      <c r="I68" s="40">
        <f>I51</f>
        <v>762.63000000000011</v>
      </c>
    </row>
    <row r="69" spans="1:9">
      <c r="A69" s="9" t="s">
        <v>92</v>
      </c>
      <c r="B69" s="68" t="s">
        <v>93</v>
      </c>
      <c r="C69" s="69"/>
      <c r="D69" s="69"/>
      <c r="E69" s="69"/>
      <c r="F69" s="69"/>
      <c r="G69" s="69"/>
      <c r="H69" s="70"/>
      <c r="I69" s="40">
        <f>I63</f>
        <v>459.95780000000002</v>
      </c>
    </row>
    <row r="70" spans="1:9">
      <c r="A70" s="18" t="s">
        <v>14</v>
      </c>
      <c r="B70" s="19"/>
      <c r="C70" s="19"/>
      <c r="D70" s="19"/>
      <c r="E70" s="19"/>
      <c r="F70" s="19"/>
      <c r="G70" s="19"/>
      <c r="H70" s="20"/>
      <c r="I70" s="21">
        <f>SUM(I67:I69)</f>
        <v>1589.1478000000002</v>
      </c>
    </row>
    <row r="71" spans="1:9">
      <c r="A71" s="75"/>
      <c r="B71" s="76"/>
      <c r="C71" s="76"/>
      <c r="D71" s="76"/>
      <c r="E71" s="76"/>
      <c r="F71" s="76"/>
      <c r="G71" s="76"/>
      <c r="H71" s="76"/>
      <c r="I71" s="77"/>
    </row>
    <row r="72" spans="1:9">
      <c r="A72" s="1" t="s">
        <v>0</v>
      </c>
      <c r="B72" s="2"/>
      <c r="C72" s="2"/>
      <c r="D72" s="2"/>
      <c r="E72" s="2"/>
      <c r="F72" s="2"/>
      <c r="G72" s="2"/>
      <c r="H72" s="2"/>
      <c r="I72" s="3"/>
    </row>
    <row r="73" spans="1:9" ht="26.4">
      <c r="A73" s="4">
        <v>3</v>
      </c>
      <c r="B73" s="5" t="s">
        <v>1</v>
      </c>
      <c r="C73" s="6"/>
      <c r="D73" s="6"/>
      <c r="E73" s="6"/>
      <c r="F73" s="6"/>
      <c r="G73" s="7"/>
      <c r="H73" s="4" t="s">
        <v>2</v>
      </c>
      <c r="I73" s="8" t="s">
        <v>3</v>
      </c>
    </row>
    <row r="74" spans="1:9" ht="12.75" customHeight="1">
      <c r="A74" s="9" t="s">
        <v>4</v>
      </c>
      <c r="B74" s="10" t="s">
        <v>5</v>
      </c>
      <c r="C74" s="10"/>
      <c r="D74" s="10"/>
      <c r="E74" s="10"/>
      <c r="F74" s="10"/>
      <c r="G74" s="10"/>
      <c r="H74" s="11">
        <v>4.5999999999999999E-3</v>
      </c>
      <c r="I74" s="12">
        <f>($I$30*H74)</f>
        <v>8.252262</v>
      </c>
    </row>
    <row r="75" spans="1:9" ht="12.75" customHeight="1">
      <c r="A75" s="13" t="s">
        <v>6</v>
      </c>
      <c r="B75" s="14" t="s">
        <v>7</v>
      </c>
      <c r="C75" s="14"/>
      <c r="D75" s="14"/>
      <c r="E75" s="14"/>
      <c r="F75" s="14"/>
      <c r="G75" s="14"/>
      <c r="H75" s="15">
        <v>4.0000000000000002E-4</v>
      </c>
      <c r="I75" s="12">
        <f t="shared" ref="I75:I76" si="0">($I$30*H75)</f>
        <v>0.717588</v>
      </c>
    </row>
    <row r="76" spans="1:9" ht="31.5" customHeight="1">
      <c r="A76" s="9" t="s">
        <v>8</v>
      </c>
      <c r="B76" s="16" t="s">
        <v>9</v>
      </c>
      <c r="C76" s="10"/>
      <c r="D76" s="10"/>
      <c r="E76" s="10"/>
      <c r="F76" s="10"/>
      <c r="G76" s="10"/>
      <c r="H76" s="17">
        <v>1.9400000000000001E-2</v>
      </c>
      <c r="I76" s="12">
        <f t="shared" si="0"/>
        <v>34.803018000000002</v>
      </c>
    </row>
    <row r="77" spans="1:9" ht="31.5" customHeight="1">
      <c r="A77" s="13" t="s">
        <v>10</v>
      </c>
      <c r="B77" s="10" t="s">
        <v>11</v>
      </c>
      <c r="C77" s="10"/>
      <c r="D77" s="10"/>
      <c r="E77" s="10"/>
      <c r="F77" s="10"/>
      <c r="G77" s="10"/>
      <c r="H77" s="11">
        <v>7.1000000000000004E-3</v>
      </c>
      <c r="I77" s="12">
        <f>($I$30*H77)</f>
        <v>12.737187</v>
      </c>
    </row>
    <row r="78" spans="1:9" ht="54" customHeight="1">
      <c r="A78" s="9" t="s">
        <v>12</v>
      </c>
      <c r="B78" s="10" t="s">
        <v>13</v>
      </c>
      <c r="C78" s="10"/>
      <c r="D78" s="10"/>
      <c r="E78" s="10"/>
      <c r="F78" s="10"/>
      <c r="G78" s="10"/>
      <c r="H78" s="11">
        <v>0.04</v>
      </c>
      <c r="I78" s="12">
        <f>($I$30*H78)</f>
        <v>71.758800000000008</v>
      </c>
    </row>
    <row r="79" spans="1:9">
      <c r="A79" s="123" t="s">
        <v>29</v>
      </c>
      <c r="B79" s="16" t="s">
        <v>383</v>
      </c>
      <c r="C79" s="10"/>
      <c r="D79" s="10"/>
      <c r="E79" s="10"/>
      <c r="F79" s="10"/>
      <c r="G79" s="10"/>
      <c r="H79" s="11">
        <v>1.5800000000000002E-2</v>
      </c>
      <c r="I79" s="12">
        <f>($I$36*H79)</f>
        <v>5.7916480000000004</v>
      </c>
    </row>
    <row r="80" spans="1:9">
      <c r="A80" s="18" t="s">
        <v>14</v>
      </c>
      <c r="B80" s="19"/>
      <c r="C80" s="19"/>
      <c r="D80" s="19"/>
      <c r="E80" s="19"/>
      <c r="F80" s="19"/>
      <c r="G80" s="19"/>
      <c r="H80" s="20"/>
      <c r="I80" s="21">
        <f>SUM(I74:I79)</f>
        <v>134.06050300000001</v>
      </c>
    </row>
    <row r="81" spans="1:12">
      <c r="A81" s="22" t="s">
        <v>15</v>
      </c>
      <c r="B81" s="23"/>
      <c r="C81" s="23"/>
      <c r="D81" s="23"/>
      <c r="E81" s="23"/>
      <c r="F81" s="23"/>
      <c r="G81" s="23"/>
      <c r="H81" s="24" t="s">
        <v>16</v>
      </c>
      <c r="I81" s="25">
        <f>I30</f>
        <v>1793.97</v>
      </c>
    </row>
    <row r="82" spans="1:12" ht="69" customHeight="1">
      <c r="A82" s="23"/>
      <c r="B82" s="23"/>
      <c r="C82" s="23"/>
      <c r="D82" s="23"/>
      <c r="E82" s="23"/>
      <c r="F82" s="23"/>
      <c r="G82" s="23"/>
      <c r="H82" s="26" t="s">
        <v>17</v>
      </c>
      <c r="I82" s="25">
        <f>I36+I51+I60+I61</f>
        <v>1147.73</v>
      </c>
    </row>
    <row r="83" spans="1:12">
      <c r="A83" s="23"/>
      <c r="B83" s="23"/>
      <c r="C83" s="23"/>
      <c r="D83" s="23"/>
      <c r="E83" s="23"/>
      <c r="F83" s="23"/>
      <c r="G83" s="23"/>
      <c r="H83" s="24" t="s">
        <v>18</v>
      </c>
      <c r="I83" s="25">
        <f>I80</f>
        <v>134.06050300000001</v>
      </c>
    </row>
    <row r="84" spans="1:12">
      <c r="A84" s="23"/>
      <c r="B84" s="23"/>
      <c r="C84" s="23"/>
      <c r="D84" s="23"/>
      <c r="E84" s="23"/>
      <c r="F84" s="23"/>
      <c r="G84" s="23"/>
      <c r="H84" s="27" t="s">
        <v>14</v>
      </c>
      <c r="I84" s="28">
        <f>SUM(I81:I83)</f>
        <v>3075.760503</v>
      </c>
    </row>
    <row r="85" spans="1:12">
      <c r="A85" s="29" t="s">
        <v>19</v>
      </c>
      <c r="B85" s="30"/>
      <c r="C85" s="30"/>
      <c r="D85" s="30"/>
      <c r="E85" s="30"/>
      <c r="F85" s="30"/>
      <c r="G85" s="30"/>
      <c r="H85" s="30"/>
      <c r="I85" s="31"/>
    </row>
    <row r="86" spans="1:12" ht="60.75" customHeight="1">
      <c r="A86" s="32" t="s">
        <v>20</v>
      </c>
      <c r="B86" s="33"/>
      <c r="C86" s="33"/>
      <c r="D86" s="33"/>
      <c r="E86" s="33"/>
      <c r="F86" s="33"/>
      <c r="G86" s="33"/>
      <c r="H86" s="33"/>
      <c r="I86" s="34"/>
    </row>
    <row r="87" spans="1:12">
      <c r="A87" s="35" t="s">
        <v>21</v>
      </c>
      <c r="B87" s="36" t="s">
        <v>22</v>
      </c>
      <c r="C87" s="36"/>
      <c r="D87" s="36"/>
      <c r="E87" s="36"/>
      <c r="F87" s="36"/>
      <c r="G87" s="36"/>
      <c r="H87" s="4" t="s">
        <v>23</v>
      </c>
      <c r="I87" s="37" t="s">
        <v>3</v>
      </c>
    </row>
    <row r="88" spans="1:12" ht="25.5" customHeight="1">
      <c r="A88" s="9" t="s">
        <v>4</v>
      </c>
      <c r="B88" s="38" t="s">
        <v>24</v>
      </c>
      <c r="C88" s="38"/>
      <c r="D88" s="38"/>
      <c r="E88" s="38"/>
      <c r="F88" s="38"/>
      <c r="G88" s="38"/>
      <c r="H88" s="39">
        <v>9.0749999999999997E-2</v>
      </c>
      <c r="I88" s="40">
        <f>H88*$I$84</f>
        <v>279.12526564724999</v>
      </c>
      <c r="K88" s="167"/>
      <c r="L88" s="91"/>
    </row>
    <row r="89" spans="1:12" ht="39.75" customHeight="1">
      <c r="A89" s="9" t="s">
        <v>6</v>
      </c>
      <c r="B89" s="38" t="s">
        <v>25</v>
      </c>
      <c r="C89" s="38"/>
      <c r="D89" s="38"/>
      <c r="E89" s="38"/>
      <c r="F89" s="38"/>
      <c r="G89" s="38"/>
      <c r="H89" s="15">
        <v>1.6299999999999999E-2</v>
      </c>
      <c r="I89" s="40">
        <f t="shared" ref="I89:I91" si="1">H89*$I$84</f>
        <v>50.134896198899995</v>
      </c>
    </row>
    <row r="90" spans="1:12" ht="35.25" customHeight="1">
      <c r="A90" s="9" t="s">
        <v>8</v>
      </c>
      <c r="B90" s="38" t="s">
        <v>26</v>
      </c>
      <c r="C90" s="38"/>
      <c r="D90" s="38"/>
      <c r="E90" s="38"/>
      <c r="F90" s="38"/>
      <c r="G90" s="38"/>
      <c r="H90" s="11">
        <v>2.0000000000000001E-4</v>
      </c>
      <c r="I90" s="40">
        <f t="shared" si="1"/>
        <v>0.61515210060000003</v>
      </c>
    </row>
    <row r="91" spans="1:12" ht="50.25" customHeight="1">
      <c r="A91" s="9" t="s">
        <v>10</v>
      </c>
      <c r="B91" s="38" t="s">
        <v>27</v>
      </c>
      <c r="C91" s="38"/>
      <c r="D91" s="38"/>
      <c r="E91" s="38"/>
      <c r="F91" s="38"/>
      <c r="G91" s="38"/>
      <c r="H91" s="15">
        <v>3.3E-3</v>
      </c>
      <c r="I91" s="40">
        <f t="shared" si="1"/>
        <v>10.1500096599</v>
      </c>
      <c r="K91" s="168"/>
    </row>
    <row r="92" spans="1:12" ht="45" customHeight="1">
      <c r="A92" s="9" t="s">
        <v>12</v>
      </c>
      <c r="B92" s="38" t="s">
        <v>28</v>
      </c>
      <c r="C92" s="38"/>
      <c r="D92" s="38"/>
      <c r="E92" s="38"/>
      <c r="F92" s="38"/>
      <c r="G92" s="38"/>
      <c r="H92" s="41">
        <v>5.5000000000000003E-4</v>
      </c>
      <c r="I92" s="40">
        <f>H92*$I$84</f>
        <v>1.6916682766500002</v>
      </c>
    </row>
    <row r="93" spans="1:12">
      <c r="A93" s="42" t="s">
        <v>29</v>
      </c>
      <c r="B93" s="14" t="s">
        <v>30</v>
      </c>
      <c r="C93" s="14"/>
      <c r="D93" s="14"/>
      <c r="E93" s="14"/>
      <c r="F93" s="14"/>
      <c r="G93" s="14"/>
      <c r="H93" s="15" t="s">
        <v>31</v>
      </c>
      <c r="I93" s="40"/>
    </row>
    <row r="94" spans="1:12">
      <c r="A94" s="18" t="s">
        <v>32</v>
      </c>
      <c r="B94" s="19"/>
      <c r="C94" s="19"/>
      <c r="D94" s="19"/>
      <c r="E94" s="19"/>
      <c r="F94" s="19"/>
      <c r="G94" s="19"/>
      <c r="H94" s="20"/>
      <c r="I94" s="43">
        <f>SUM(I88:I93)</f>
        <v>341.71699188329995</v>
      </c>
    </row>
    <row r="95" spans="1:12">
      <c r="A95" s="35" t="s">
        <v>33</v>
      </c>
      <c r="B95" s="44" t="s">
        <v>34</v>
      </c>
      <c r="C95" s="45"/>
      <c r="D95" s="45"/>
      <c r="E95" s="45"/>
      <c r="F95" s="45"/>
      <c r="G95" s="45"/>
      <c r="H95" s="46"/>
      <c r="I95" s="37" t="s">
        <v>3</v>
      </c>
    </row>
    <row r="96" spans="1:12">
      <c r="A96" s="9" t="s">
        <v>4</v>
      </c>
      <c r="B96" s="10" t="s">
        <v>35</v>
      </c>
      <c r="C96" s="10"/>
      <c r="D96" s="10"/>
      <c r="E96" s="10"/>
      <c r="F96" s="10"/>
      <c r="G96" s="10"/>
      <c r="H96" s="47"/>
      <c r="I96" s="48">
        <v>0</v>
      </c>
    </row>
    <row r="97" spans="1:9">
      <c r="A97" s="18" t="s">
        <v>32</v>
      </c>
      <c r="B97" s="19"/>
      <c r="C97" s="19"/>
      <c r="D97" s="19"/>
      <c r="E97" s="19"/>
      <c r="F97" s="19"/>
      <c r="G97" s="19"/>
      <c r="H97" s="20"/>
      <c r="I97" s="49">
        <f>SUM(I96:I96)</f>
        <v>0</v>
      </c>
    </row>
    <row r="98" spans="1:9">
      <c r="A98" s="1" t="s">
        <v>36</v>
      </c>
      <c r="B98" s="2"/>
      <c r="C98" s="2"/>
      <c r="D98" s="2"/>
      <c r="E98" s="2"/>
      <c r="F98" s="2"/>
      <c r="G98" s="2"/>
      <c r="H98" s="2"/>
      <c r="I98" s="3"/>
    </row>
    <row r="99" spans="1:9">
      <c r="A99" s="50">
        <v>4</v>
      </c>
      <c r="B99" s="5" t="s">
        <v>37</v>
      </c>
      <c r="C99" s="6"/>
      <c r="D99" s="6"/>
      <c r="E99" s="6"/>
      <c r="F99" s="6"/>
      <c r="G99" s="6"/>
      <c r="H99" s="7"/>
      <c r="I99" s="51" t="s">
        <v>3</v>
      </c>
    </row>
    <row r="100" spans="1:9">
      <c r="A100" s="9" t="s">
        <v>21</v>
      </c>
      <c r="B100" s="10" t="s">
        <v>22</v>
      </c>
      <c r="C100" s="10"/>
      <c r="D100" s="10"/>
      <c r="E100" s="10"/>
      <c r="F100" s="10"/>
      <c r="G100" s="10"/>
      <c r="H100" s="52"/>
      <c r="I100" s="40">
        <f>I94</f>
        <v>341.71699188329995</v>
      </c>
    </row>
    <row r="101" spans="1:9">
      <c r="A101" s="9" t="s">
        <v>33</v>
      </c>
      <c r="B101" s="10" t="s">
        <v>34</v>
      </c>
      <c r="C101" s="10"/>
      <c r="D101" s="10"/>
      <c r="E101" s="10"/>
      <c r="F101" s="10"/>
      <c r="G101" s="10"/>
      <c r="H101" s="52"/>
      <c r="I101" s="40">
        <f>I97</f>
        <v>0</v>
      </c>
    </row>
    <row r="102" spans="1:9">
      <c r="A102" s="18" t="s">
        <v>14</v>
      </c>
      <c r="B102" s="19"/>
      <c r="C102" s="19"/>
      <c r="D102" s="19"/>
      <c r="E102" s="19"/>
      <c r="F102" s="19"/>
      <c r="G102" s="19"/>
      <c r="H102" s="20"/>
      <c r="I102" s="21">
        <f>SUM(I100:I101)</f>
        <v>341.71699188329995</v>
      </c>
    </row>
    <row r="103" spans="1:9">
      <c r="A103" s="75"/>
      <c r="B103" s="76"/>
      <c r="C103" s="76"/>
      <c r="D103" s="76"/>
      <c r="E103" s="76"/>
      <c r="F103" s="76"/>
      <c r="G103" s="76"/>
      <c r="H103" s="76"/>
      <c r="I103" s="77"/>
    </row>
    <row r="104" spans="1:9">
      <c r="A104" s="29" t="s">
        <v>105</v>
      </c>
      <c r="B104" s="30"/>
      <c r="C104" s="30"/>
      <c r="D104" s="30"/>
      <c r="E104" s="30"/>
      <c r="F104" s="30"/>
      <c r="G104" s="30"/>
      <c r="H104" s="30"/>
      <c r="I104" s="31"/>
    </row>
    <row r="105" spans="1:9">
      <c r="A105" s="50">
        <v>5</v>
      </c>
      <c r="B105" s="5" t="s">
        <v>106</v>
      </c>
      <c r="C105" s="6"/>
      <c r="D105" s="6"/>
      <c r="E105" s="6"/>
      <c r="F105" s="6"/>
      <c r="G105" s="6"/>
      <c r="H105" s="7"/>
      <c r="I105" s="51" t="s">
        <v>3</v>
      </c>
    </row>
    <row r="106" spans="1:9">
      <c r="A106" s="9" t="s">
        <v>4</v>
      </c>
      <c r="B106" s="159" t="s">
        <v>107</v>
      </c>
      <c r="C106" s="169"/>
      <c r="D106" s="169"/>
      <c r="E106" s="169"/>
      <c r="F106" s="169"/>
      <c r="G106" s="169"/>
      <c r="H106" s="170"/>
      <c r="I106" s="171">
        <f>UNIFORMES!F18</f>
        <v>52.666666666666664</v>
      </c>
    </row>
    <row r="107" spans="1:9">
      <c r="A107" s="9" t="s">
        <v>6</v>
      </c>
      <c r="B107" s="159" t="s">
        <v>108</v>
      </c>
      <c r="C107" s="169"/>
      <c r="D107" s="169"/>
      <c r="E107" s="169"/>
      <c r="F107" s="169"/>
      <c r="G107" s="169"/>
      <c r="H107" s="170"/>
      <c r="I107" s="172">
        <v>0</v>
      </c>
    </row>
    <row r="108" spans="1:9">
      <c r="A108" s="9" t="s">
        <v>8</v>
      </c>
      <c r="B108" s="173" t="s">
        <v>109</v>
      </c>
      <c r="C108" s="160"/>
      <c r="D108" s="160"/>
      <c r="E108" s="160"/>
      <c r="F108" s="160"/>
      <c r="G108" s="160"/>
      <c r="H108" s="161"/>
      <c r="I108" s="172">
        <v>0</v>
      </c>
    </row>
    <row r="109" spans="1:9">
      <c r="A109" s="18" t="s">
        <v>14</v>
      </c>
      <c r="B109" s="19"/>
      <c r="C109" s="19"/>
      <c r="D109" s="19"/>
      <c r="E109" s="19"/>
      <c r="F109" s="19"/>
      <c r="G109" s="19"/>
      <c r="H109" s="20"/>
      <c r="I109" s="174">
        <f>ROUND(SUM(I106:I108),2)</f>
        <v>52.67</v>
      </c>
    </row>
    <row r="110" spans="1:9">
      <c r="A110" s="175" t="s">
        <v>110</v>
      </c>
      <c r="B110" s="176"/>
      <c r="C110" s="176"/>
      <c r="D110" s="176"/>
      <c r="E110" s="176"/>
      <c r="F110" s="176"/>
      <c r="G110" s="177"/>
      <c r="H110" s="24" t="s">
        <v>16</v>
      </c>
      <c r="I110" s="178">
        <f>I30</f>
        <v>1793.97</v>
      </c>
    </row>
    <row r="111" spans="1:9">
      <c r="A111" s="179"/>
      <c r="B111" s="180"/>
      <c r="C111" s="180"/>
      <c r="D111" s="180"/>
      <c r="E111" s="180"/>
      <c r="F111" s="180"/>
      <c r="G111" s="181"/>
      <c r="H111" s="24" t="s">
        <v>111</v>
      </c>
      <c r="I111" s="178">
        <f>I70</f>
        <v>1589.1478000000002</v>
      </c>
    </row>
    <row r="112" spans="1:9">
      <c r="A112" s="179"/>
      <c r="B112" s="180"/>
      <c r="C112" s="180"/>
      <c r="D112" s="180"/>
      <c r="E112" s="180"/>
      <c r="F112" s="180"/>
      <c r="G112" s="181"/>
      <c r="H112" s="24" t="s">
        <v>18</v>
      </c>
      <c r="I112" s="178">
        <f>I80</f>
        <v>134.06050300000001</v>
      </c>
    </row>
    <row r="113" spans="1:11">
      <c r="A113" s="179"/>
      <c r="B113" s="180"/>
      <c r="C113" s="180"/>
      <c r="D113" s="180"/>
      <c r="E113" s="180"/>
      <c r="F113" s="180"/>
      <c r="G113" s="181"/>
      <c r="H113" s="24" t="s">
        <v>112</v>
      </c>
      <c r="I113" s="182">
        <f>I102</f>
        <v>341.71699188329995</v>
      </c>
    </row>
    <row r="114" spans="1:11">
      <c r="A114" s="179"/>
      <c r="B114" s="180"/>
      <c r="C114" s="180"/>
      <c r="D114" s="180"/>
      <c r="E114" s="180"/>
      <c r="F114" s="180"/>
      <c r="G114" s="181"/>
      <c r="H114" s="183" t="s">
        <v>113</v>
      </c>
      <c r="I114" s="184">
        <f>I109</f>
        <v>52.67</v>
      </c>
    </row>
    <row r="115" spans="1:11">
      <c r="A115" s="185"/>
      <c r="B115" s="186"/>
      <c r="C115" s="186"/>
      <c r="D115" s="186"/>
      <c r="E115" s="186"/>
      <c r="F115" s="186"/>
      <c r="G115" s="187"/>
      <c r="H115" s="183" t="s">
        <v>14</v>
      </c>
      <c r="I115" s="184">
        <f>SUM(I110:I114)</f>
        <v>3911.5652948833003</v>
      </c>
    </row>
    <row r="116" spans="1:11">
      <c r="A116" s="188" t="s">
        <v>114</v>
      </c>
      <c r="B116" s="188"/>
      <c r="C116" s="188"/>
      <c r="D116" s="188"/>
      <c r="E116" s="188"/>
      <c r="F116" s="188"/>
      <c r="G116" s="188"/>
      <c r="H116" s="188"/>
      <c r="I116" s="189"/>
    </row>
    <row r="117" spans="1:11">
      <c r="A117" s="50">
        <v>6</v>
      </c>
      <c r="B117" s="44" t="s">
        <v>115</v>
      </c>
      <c r="C117" s="45"/>
      <c r="D117" s="45"/>
      <c r="E117" s="45"/>
      <c r="F117" s="45"/>
      <c r="G117" s="46"/>
      <c r="H117" s="109" t="s">
        <v>60</v>
      </c>
      <c r="I117" s="51" t="s">
        <v>3</v>
      </c>
    </row>
    <row r="118" spans="1:11" ht="14.4">
      <c r="A118" s="9" t="s">
        <v>4</v>
      </c>
      <c r="B118" s="190" t="s">
        <v>116</v>
      </c>
      <c r="C118" s="144"/>
      <c r="D118" s="144"/>
      <c r="E118" s="144"/>
      <c r="F118" s="144"/>
      <c r="G118" s="145"/>
      <c r="H118" s="15">
        <v>0.03</v>
      </c>
      <c r="I118" s="12">
        <f>I115*H118</f>
        <v>117.34695884649901</v>
      </c>
    </row>
    <row r="119" spans="1:11" ht="14.4">
      <c r="A119" s="9" t="s">
        <v>6</v>
      </c>
      <c r="B119" s="190" t="s">
        <v>117</v>
      </c>
      <c r="C119" s="144"/>
      <c r="D119" s="144"/>
      <c r="E119" s="144"/>
      <c r="F119" s="144"/>
      <c r="G119" s="145"/>
      <c r="H119" s="15">
        <v>3.39999E-2</v>
      </c>
      <c r="I119" s="12">
        <f>(I115+I118)*H119</f>
        <v>136.98261373558782</v>
      </c>
    </row>
    <row r="120" spans="1:11">
      <c r="A120" s="9" t="s">
        <v>8</v>
      </c>
      <c r="B120" s="143" t="s">
        <v>118</v>
      </c>
      <c r="C120" s="144"/>
      <c r="D120" s="144"/>
      <c r="E120" s="144"/>
      <c r="F120" s="144"/>
      <c r="G120" s="145"/>
      <c r="H120" s="191"/>
      <c r="I120" s="192"/>
    </row>
    <row r="121" spans="1:11">
      <c r="A121" s="193"/>
      <c r="B121" s="143" t="s">
        <v>119</v>
      </c>
      <c r="C121" s="144"/>
      <c r="D121" s="144"/>
      <c r="E121" s="144"/>
      <c r="F121" s="144"/>
      <c r="G121" s="145"/>
      <c r="H121" s="15" t="s">
        <v>96</v>
      </c>
      <c r="I121" s="12" t="s">
        <v>96</v>
      </c>
      <c r="K121" s="354">
        <f>RESUMO!B7</f>
        <v>739977.64124930161</v>
      </c>
    </row>
    <row r="122" spans="1:11">
      <c r="A122" s="193"/>
      <c r="B122" s="110" t="s">
        <v>120</v>
      </c>
      <c r="C122" s="69"/>
      <c r="D122" s="69"/>
      <c r="E122" s="69"/>
      <c r="F122" s="69"/>
      <c r="G122" s="70"/>
      <c r="H122" s="17">
        <v>6.4999999999999997E-3</v>
      </c>
      <c r="I122" s="12">
        <f>(I115+I118+I119)/(1-H127)*H122</f>
        <v>29.642382746059134</v>
      </c>
    </row>
    <row r="123" spans="1:11">
      <c r="A123" s="193"/>
      <c r="B123" s="194" t="s">
        <v>121</v>
      </c>
      <c r="C123" s="69"/>
      <c r="D123" s="69"/>
      <c r="E123" s="69"/>
      <c r="F123" s="69"/>
      <c r="G123" s="70"/>
      <c r="H123" s="17">
        <v>0.03</v>
      </c>
      <c r="I123" s="12">
        <f>(I115+I118+I119)/(1-H127)*H123</f>
        <v>136.81099728950369</v>
      </c>
    </row>
    <row r="124" spans="1:11">
      <c r="A124" s="193"/>
      <c r="B124" s="194" t="s">
        <v>122</v>
      </c>
      <c r="C124" s="195"/>
      <c r="D124" s="195"/>
      <c r="E124" s="195"/>
      <c r="F124" s="195"/>
      <c r="G124" s="196"/>
      <c r="H124" s="90"/>
      <c r="I124" s="12"/>
    </row>
    <row r="125" spans="1:11">
      <c r="A125" s="193"/>
      <c r="B125" s="194" t="s">
        <v>123</v>
      </c>
      <c r="C125" s="195"/>
      <c r="D125" s="195"/>
      <c r="E125" s="195"/>
      <c r="F125" s="195"/>
      <c r="G125" s="196"/>
      <c r="H125" s="90"/>
      <c r="I125" s="12"/>
    </row>
    <row r="126" spans="1:11">
      <c r="A126" s="193"/>
      <c r="B126" s="110" t="s">
        <v>124</v>
      </c>
      <c r="C126" s="69"/>
      <c r="D126" s="69"/>
      <c r="E126" s="69"/>
      <c r="F126" s="69"/>
      <c r="G126" s="70"/>
      <c r="H126" s="340">
        <f>'[1]BASE-Alíquotas ISS'!B2</f>
        <v>0.05</v>
      </c>
      <c r="I126" s="12">
        <f>(I115+I118+I119)/(1-H127)*H126</f>
        <v>228.01832881583951</v>
      </c>
    </row>
    <row r="127" spans="1:11" ht="14.25" customHeight="1">
      <c r="A127" s="73"/>
      <c r="B127" s="197"/>
      <c r="C127" s="197"/>
      <c r="D127" s="197"/>
      <c r="E127" s="197"/>
      <c r="F127" s="197"/>
      <c r="G127" s="74"/>
      <c r="H127" s="198">
        <f>SUM(H122:H126)</f>
        <v>8.6499999999999994E-2</v>
      </c>
      <c r="I127" s="12"/>
    </row>
    <row r="128" spans="1:11">
      <c r="A128" s="18" t="s">
        <v>14</v>
      </c>
      <c r="B128" s="19"/>
      <c r="C128" s="19"/>
      <c r="D128" s="19"/>
      <c r="E128" s="19"/>
      <c r="F128" s="19"/>
      <c r="G128" s="19"/>
      <c r="H128" s="199">
        <f>SUM(H118,H119,H127)</f>
        <v>0.15049989999999999</v>
      </c>
      <c r="I128" s="200">
        <f>SUM(I118:I126)</f>
        <v>648.80128143348918</v>
      </c>
    </row>
    <row r="129" spans="1:9" ht="40.5" customHeight="1">
      <c r="A129" s="194" t="s">
        <v>125</v>
      </c>
      <c r="B129" s="63"/>
      <c r="C129" s="63"/>
      <c r="D129" s="63"/>
      <c r="E129" s="63"/>
      <c r="F129" s="63"/>
      <c r="G129" s="63"/>
      <c r="H129" s="201"/>
      <c r="I129" s="64"/>
    </row>
    <row r="130" spans="1:9">
      <c r="A130" s="202"/>
      <c r="B130" s="203"/>
      <c r="C130" s="203"/>
      <c r="D130" s="203"/>
      <c r="E130" s="203"/>
      <c r="F130" s="203"/>
      <c r="G130" s="203"/>
      <c r="H130" s="203"/>
      <c r="I130" s="203"/>
    </row>
    <row r="131" spans="1:9">
      <c r="A131" s="204" t="s">
        <v>126</v>
      </c>
      <c r="B131" s="205"/>
      <c r="C131" s="205"/>
      <c r="D131" s="205"/>
      <c r="E131" s="205"/>
      <c r="F131" s="205"/>
      <c r="G131" s="205"/>
      <c r="H131" s="205"/>
      <c r="I131" s="206"/>
    </row>
    <row r="132" spans="1:9">
      <c r="A132" s="5" t="s">
        <v>127</v>
      </c>
      <c r="B132" s="6"/>
      <c r="C132" s="6"/>
      <c r="D132" s="6"/>
      <c r="E132" s="6"/>
      <c r="F132" s="6"/>
      <c r="G132" s="6"/>
      <c r="H132" s="7"/>
      <c r="I132" s="122" t="s">
        <v>3</v>
      </c>
    </row>
    <row r="133" spans="1:9">
      <c r="A133" s="207" t="s">
        <v>4</v>
      </c>
      <c r="B133" s="68" t="s">
        <v>128</v>
      </c>
      <c r="C133" s="69"/>
      <c r="D133" s="69"/>
      <c r="E133" s="69"/>
      <c r="F133" s="69"/>
      <c r="G133" s="69"/>
      <c r="H133" s="70"/>
      <c r="I133" s="146">
        <f>I30</f>
        <v>1793.97</v>
      </c>
    </row>
    <row r="134" spans="1:9">
      <c r="A134" s="207" t="s">
        <v>6</v>
      </c>
      <c r="B134" s="68" t="s">
        <v>104</v>
      </c>
      <c r="C134" s="69"/>
      <c r="D134" s="69"/>
      <c r="E134" s="69"/>
      <c r="F134" s="69"/>
      <c r="G134" s="69"/>
      <c r="H134" s="70"/>
      <c r="I134" s="146">
        <f>I70</f>
        <v>1589.1478000000002</v>
      </c>
    </row>
    <row r="135" spans="1:9">
      <c r="A135" s="207" t="s">
        <v>8</v>
      </c>
      <c r="B135" s="68" t="s">
        <v>129</v>
      </c>
      <c r="C135" s="69"/>
      <c r="D135" s="69"/>
      <c r="E135" s="69"/>
      <c r="F135" s="69"/>
      <c r="G135" s="69"/>
      <c r="H135" s="70"/>
      <c r="I135" s="146">
        <f>I80</f>
        <v>134.06050300000001</v>
      </c>
    </row>
    <row r="136" spans="1:9">
      <c r="A136" s="207" t="s">
        <v>10</v>
      </c>
      <c r="B136" s="68" t="s">
        <v>37</v>
      </c>
      <c r="C136" s="69"/>
      <c r="D136" s="69"/>
      <c r="E136" s="69"/>
      <c r="F136" s="69"/>
      <c r="G136" s="69"/>
      <c r="H136" s="70"/>
      <c r="I136" s="146">
        <f>I102</f>
        <v>341.71699188329995</v>
      </c>
    </row>
    <row r="137" spans="1:9">
      <c r="A137" s="207" t="s">
        <v>12</v>
      </c>
      <c r="B137" s="68" t="s">
        <v>130</v>
      </c>
      <c r="C137" s="69"/>
      <c r="D137" s="69"/>
      <c r="E137" s="69"/>
      <c r="F137" s="69"/>
      <c r="G137" s="69"/>
      <c r="H137" s="70"/>
      <c r="I137" s="146">
        <f>I109</f>
        <v>52.67</v>
      </c>
    </row>
    <row r="138" spans="1:9">
      <c r="A138" s="208" t="s">
        <v>131</v>
      </c>
      <c r="B138" s="209"/>
      <c r="C138" s="209"/>
      <c r="D138" s="209"/>
      <c r="E138" s="209"/>
      <c r="F138" s="209"/>
      <c r="G138" s="209"/>
      <c r="H138" s="210"/>
      <c r="I138" s="211">
        <f>SUM(I133:I137)</f>
        <v>3911.5652948833003</v>
      </c>
    </row>
    <row r="139" spans="1:9">
      <c r="A139" s="207" t="s">
        <v>29</v>
      </c>
      <c r="B139" s="68" t="s">
        <v>132</v>
      </c>
      <c r="C139" s="69"/>
      <c r="D139" s="69"/>
      <c r="E139" s="69"/>
      <c r="F139" s="69"/>
      <c r="G139" s="69"/>
      <c r="H139" s="70"/>
      <c r="I139" s="212">
        <f>I128</f>
        <v>648.80128143348918</v>
      </c>
    </row>
    <row r="140" spans="1:9">
      <c r="A140" s="208" t="s">
        <v>133</v>
      </c>
      <c r="B140" s="209"/>
      <c r="C140" s="209"/>
      <c r="D140" s="209"/>
      <c r="E140" s="209"/>
      <c r="F140" s="209"/>
      <c r="G140" s="209"/>
      <c r="H140" s="210"/>
      <c r="I140" s="213">
        <f>SUM(I138+I139)</f>
        <v>4560.3665763167892</v>
      </c>
    </row>
    <row r="141" spans="1:9">
      <c r="A141" s="214"/>
      <c r="B141" s="214"/>
      <c r="C141" s="214"/>
      <c r="D141" s="214"/>
      <c r="E141" s="214"/>
      <c r="F141" s="214"/>
      <c r="G141" s="214"/>
      <c r="H141" s="214"/>
      <c r="I141" s="215"/>
    </row>
  </sheetData>
  <mergeCells count="139">
    <mergeCell ref="B136:H136"/>
    <mergeCell ref="B137:H137"/>
    <mergeCell ref="A138:H138"/>
    <mergeCell ref="B139:H139"/>
    <mergeCell ref="A140:H140"/>
    <mergeCell ref="A130:I130"/>
    <mergeCell ref="A131:I131"/>
    <mergeCell ref="A132:H132"/>
    <mergeCell ref="B133:H133"/>
    <mergeCell ref="B134:H134"/>
    <mergeCell ref="B135:H135"/>
    <mergeCell ref="B124:G124"/>
    <mergeCell ref="B125:G125"/>
    <mergeCell ref="B126:G126"/>
    <mergeCell ref="A127:G127"/>
    <mergeCell ref="A128:G128"/>
    <mergeCell ref="A129:I129"/>
    <mergeCell ref="B118:G118"/>
    <mergeCell ref="B119:G119"/>
    <mergeCell ref="B120:G120"/>
    <mergeCell ref="B121:G121"/>
    <mergeCell ref="B122:G122"/>
    <mergeCell ref="B123:G123"/>
    <mergeCell ref="B107:H107"/>
    <mergeCell ref="B108:H108"/>
    <mergeCell ref="A109:H109"/>
    <mergeCell ref="A110:G115"/>
    <mergeCell ref="A116:I116"/>
    <mergeCell ref="B117:G117"/>
    <mergeCell ref="B101:G101"/>
    <mergeCell ref="A102:H102"/>
    <mergeCell ref="A103:I103"/>
    <mergeCell ref="A104:I104"/>
    <mergeCell ref="B105:H105"/>
    <mergeCell ref="B106:H106"/>
    <mergeCell ref="B95:H95"/>
    <mergeCell ref="B96:G96"/>
    <mergeCell ref="A97:H97"/>
    <mergeCell ref="A98:I98"/>
    <mergeCell ref="B99:H99"/>
    <mergeCell ref="B100:G100"/>
    <mergeCell ref="B89:G89"/>
    <mergeCell ref="B90:G90"/>
    <mergeCell ref="B91:G91"/>
    <mergeCell ref="B92:G92"/>
    <mergeCell ref="B93:G93"/>
    <mergeCell ref="A94:H94"/>
    <mergeCell ref="A80:H80"/>
    <mergeCell ref="A81:G84"/>
    <mergeCell ref="A85:I85"/>
    <mergeCell ref="A86:I86"/>
    <mergeCell ref="B87:G87"/>
    <mergeCell ref="B88:G88"/>
    <mergeCell ref="B74:G74"/>
    <mergeCell ref="B75:G75"/>
    <mergeCell ref="B76:G76"/>
    <mergeCell ref="B77:G77"/>
    <mergeCell ref="B78:G78"/>
    <mergeCell ref="B79:G79"/>
    <mergeCell ref="B68:H68"/>
    <mergeCell ref="B69:H69"/>
    <mergeCell ref="A70:H70"/>
    <mergeCell ref="A71:I71"/>
    <mergeCell ref="A72:I72"/>
    <mergeCell ref="B73:G73"/>
    <mergeCell ref="B62:G62"/>
    <mergeCell ref="B63:H63"/>
    <mergeCell ref="A64:I64"/>
    <mergeCell ref="A65:I65"/>
    <mergeCell ref="B66:H66"/>
    <mergeCell ref="B67:H67"/>
    <mergeCell ref="B56:G56"/>
    <mergeCell ref="B57:G57"/>
    <mergeCell ref="B58:G58"/>
    <mergeCell ref="B59:G59"/>
    <mergeCell ref="B60:G60"/>
    <mergeCell ref="B61:G61"/>
    <mergeCell ref="B50:G50"/>
    <mergeCell ref="A51:G51"/>
    <mergeCell ref="A52:I52"/>
    <mergeCell ref="A53:I53"/>
    <mergeCell ref="B54:H54"/>
    <mergeCell ref="B55:H55"/>
    <mergeCell ref="B44:G44"/>
    <mergeCell ref="B45:C45"/>
    <mergeCell ref="B46:G46"/>
    <mergeCell ref="B47:G47"/>
    <mergeCell ref="B48:G48"/>
    <mergeCell ref="B49:G49"/>
    <mergeCell ref="A36:G36"/>
    <mergeCell ref="A37:I37"/>
    <mergeCell ref="A38:G40"/>
    <mergeCell ref="A41:I41"/>
    <mergeCell ref="B42:G42"/>
    <mergeCell ref="B43:G43"/>
    <mergeCell ref="A30:H30"/>
    <mergeCell ref="A31:I31"/>
    <mergeCell ref="A32:I32"/>
    <mergeCell ref="B33:G33"/>
    <mergeCell ref="B34:G34"/>
    <mergeCell ref="B35:G35"/>
    <mergeCell ref="B24:G24"/>
    <mergeCell ref="B25:G25"/>
    <mergeCell ref="B26:G26"/>
    <mergeCell ref="B27:G27"/>
    <mergeCell ref="B28:G28"/>
    <mergeCell ref="B29:G29"/>
    <mergeCell ref="B19:G19"/>
    <mergeCell ref="H19:I19"/>
    <mergeCell ref="A20:I20"/>
    <mergeCell ref="A21:I21"/>
    <mergeCell ref="B22:G22"/>
    <mergeCell ref="B23:H23"/>
    <mergeCell ref="B16:G16"/>
    <mergeCell ref="H16:I16"/>
    <mergeCell ref="B17:G17"/>
    <mergeCell ref="H17:I17"/>
    <mergeCell ref="B18:G18"/>
    <mergeCell ref="H18:I18"/>
    <mergeCell ref="A11:I11"/>
    <mergeCell ref="A12:I12"/>
    <mergeCell ref="A13:I13"/>
    <mergeCell ref="A14:I14"/>
    <mergeCell ref="B15:G15"/>
    <mergeCell ref="H15:I15"/>
    <mergeCell ref="B8:G8"/>
    <mergeCell ref="H8:I8"/>
    <mergeCell ref="B9:G9"/>
    <mergeCell ref="H9:I9"/>
    <mergeCell ref="K9:L9"/>
    <mergeCell ref="B10:G10"/>
    <mergeCell ref="H10:I10"/>
    <mergeCell ref="A1:I1"/>
    <mergeCell ref="A2:I2"/>
    <mergeCell ref="A3:I3"/>
    <mergeCell ref="A5:I5"/>
    <mergeCell ref="A6:I6"/>
    <mergeCell ref="B7:G7"/>
    <mergeCell ref="H7:I7"/>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G35"/>
  <sheetViews>
    <sheetView view="pageBreakPreview" topLeftCell="A10" zoomScale="60" zoomScaleNormal="100" workbookViewId="0">
      <selection activeCell="W30" sqref="W30"/>
    </sheetView>
  </sheetViews>
  <sheetFormatPr defaultRowHeight="14.4"/>
  <cols>
    <col min="1" max="1" width="44.21875" style="235" bestFit="1" customWidth="1"/>
    <col min="2" max="2" width="13.109375" style="235" bestFit="1" customWidth="1"/>
    <col min="3" max="3" width="12.6640625" style="235" bestFit="1" customWidth="1"/>
    <col min="4" max="4" width="8.88671875" style="235"/>
    <col min="5" max="5" width="10.44140625" style="235" bestFit="1" customWidth="1"/>
    <col min="6" max="6" width="12.6640625" style="235" bestFit="1" customWidth="1"/>
    <col min="7" max="16384" width="8.88671875" style="235"/>
  </cols>
  <sheetData>
    <row r="1" spans="1:7" ht="18">
      <c r="A1" s="303" t="s">
        <v>343</v>
      </c>
      <c r="B1" s="303"/>
      <c r="C1" s="303"/>
      <c r="D1" s="303"/>
    </row>
    <row r="2" spans="1:7">
      <c r="A2" s="304" t="s">
        <v>344</v>
      </c>
      <c r="B2" s="305"/>
      <c r="C2" s="305"/>
      <c r="D2" s="306"/>
      <c r="E2" s="319"/>
      <c r="F2" s="319"/>
      <c r="G2" s="319"/>
    </row>
    <row r="3" spans="1:7">
      <c r="A3" s="307" t="s">
        <v>345</v>
      </c>
      <c r="B3" s="307"/>
      <c r="C3" s="307"/>
      <c r="D3" s="307"/>
      <c r="E3" s="319"/>
      <c r="F3" s="319"/>
      <c r="G3" s="319"/>
    </row>
    <row r="4" spans="1:7">
      <c r="A4" s="307"/>
      <c r="B4" s="307"/>
      <c r="C4" s="307"/>
      <c r="D4" s="307"/>
      <c r="E4" s="319"/>
      <c r="F4" s="319"/>
      <c r="G4" s="319"/>
    </row>
    <row r="5" spans="1:7">
      <c r="A5" s="308" t="s">
        <v>379</v>
      </c>
      <c r="B5" s="308"/>
      <c r="C5" s="308"/>
      <c r="D5" s="308"/>
      <c r="E5" s="319"/>
      <c r="F5" s="319"/>
      <c r="G5" s="319"/>
    </row>
    <row r="6" spans="1:7" ht="55.2">
      <c r="A6" s="309" t="s">
        <v>346</v>
      </c>
      <c r="B6" s="309" t="s">
        <v>347</v>
      </c>
      <c r="C6" s="309" t="s">
        <v>348</v>
      </c>
      <c r="D6" s="309" t="s">
        <v>349</v>
      </c>
      <c r="E6" s="319"/>
      <c r="F6" s="319"/>
      <c r="G6" s="319"/>
    </row>
    <row r="7" spans="1:7">
      <c r="A7" s="320" t="s">
        <v>350</v>
      </c>
      <c r="B7" s="321" t="s">
        <v>351</v>
      </c>
      <c r="C7" s="322">
        <f>ENCARREGADO!I140</f>
        <v>4560.3665763167892</v>
      </c>
      <c r="D7" s="322">
        <f>1/(30*800)*C7</f>
        <v>0.19001527401319954</v>
      </c>
      <c r="E7" s="319"/>
      <c r="F7" s="319"/>
      <c r="G7" s="319"/>
    </row>
    <row r="8" spans="1:7">
      <c r="A8" s="320" t="s">
        <v>352</v>
      </c>
      <c r="B8" s="321" t="s">
        <v>353</v>
      </c>
      <c r="C8" s="322">
        <f>'SERVENTE DE LIMPEZA'!I140</f>
        <v>4077.0594982112175</v>
      </c>
      <c r="D8" s="322">
        <f>1/800*C8</f>
        <v>5.0963243727640224</v>
      </c>
      <c r="E8" s="319"/>
      <c r="F8" s="319"/>
      <c r="G8" s="319"/>
    </row>
    <row r="9" spans="1:7">
      <c r="A9" s="310" t="s">
        <v>14</v>
      </c>
      <c r="B9" s="310"/>
      <c r="C9" s="310"/>
      <c r="D9" s="311">
        <f>SUM(D7:D8)</f>
        <v>5.2863396467772219</v>
      </c>
      <c r="E9" s="319"/>
      <c r="F9" s="319"/>
      <c r="G9" s="319"/>
    </row>
    <row r="10" spans="1:7">
      <c r="A10" s="323"/>
      <c r="B10" s="324"/>
      <c r="C10" s="324"/>
      <c r="D10" s="324"/>
      <c r="E10" s="319"/>
      <c r="F10" s="319"/>
      <c r="G10" s="319"/>
    </row>
    <row r="11" spans="1:7">
      <c r="A11" s="312" t="s">
        <v>380</v>
      </c>
      <c r="B11" s="312"/>
      <c r="C11" s="312"/>
      <c r="D11" s="312"/>
      <c r="E11" s="319"/>
      <c r="F11" s="319"/>
      <c r="G11" s="319"/>
    </row>
    <row r="12" spans="1:7" ht="55.2">
      <c r="A12" s="309" t="s">
        <v>346</v>
      </c>
      <c r="B12" s="309" t="s">
        <v>347</v>
      </c>
      <c r="C12" s="309" t="s">
        <v>348</v>
      </c>
      <c r="D12" s="309" t="s">
        <v>349</v>
      </c>
      <c r="E12" s="319"/>
      <c r="F12" s="319"/>
      <c r="G12" s="319"/>
    </row>
    <row r="13" spans="1:7">
      <c r="A13" s="320" t="s">
        <v>350</v>
      </c>
      <c r="B13" s="321" t="s">
        <v>354</v>
      </c>
      <c r="C13" s="322">
        <f>ENCARREGADO!I140</f>
        <v>4560.3665763167892</v>
      </c>
      <c r="D13" s="322">
        <f>1/(30*1800)*C13</f>
        <v>8.4451232894755354E-2</v>
      </c>
      <c r="E13" s="319"/>
      <c r="F13" s="319"/>
      <c r="G13" s="319"/>
    </row>
    <row r="14" spans="1:7">
      <c r="A14" s="320" t="s">
        <v>352</v>
      </c>
      <c r="B14" s="321" t="s">
        <v>355</v>
      </c>
      <c r="C14" s="322">
        <f>'SERVENTE DE LIMPEZA'!I140</f>
        <v>4077.0594982112175</v>
      </c>
      <c r="D14" s="322">
        <f>1/1800*C14</f>
        <v>2.2650330545617874</v>
      </c>
      <c r="E14" s="319"/>
      <c r="F14" s="319"/>
      <c r="G14" s="319"/>
    </row>
    <row r="15" spans="1:7">
      <c r="A15" s="310" t="s">
        <v>14</v>
      </c>
      <c r="B15" s="310"/>
      <c r="C15" s="310"/>
      <c r="D15" s="311">
        <f>SUM(D13:D14)</f>
        <v>2.3494842874565429</v>
      </c>
      <c r="E15" s="319"/>
      <c r="F15" s="319"/>
      <c r="G15" s="319"/>
    </row>
    <row r="16" spans="1:7">
      <c r="A16" s="323"/>
      <c r="B16" s="324"/>
      <c r="C16" s="324"/>
      <c r="D16" s="324"/>
      <c r="E16" s="319"/>
      <c r="F16" s="319"/>
      <c r="G16" s="319"/>
    </row>
    <row r="17" spans="1:7">
      <c r="A17" s="313" t="s">
        <v>356</v>
      </c>
      <c r="B17" s="313"/>
      <c r="C17" s="313"/>
      <c r="D17" s="313"/>
      <c r="E17" s="325"/>
      <c r="F17" s="325"/>
      <c r="G17" s="325"/>
    </row>
    <row r="18" spans="1:7" ht="96.6">
      <c r="A18" s="314" t="s">
        <v>357</v>
      </c>
      <c r="B18" s="314" t="s">
        <v>358</v>
      </c>
      <c r="C18" s="314" t="s">
        <v>359</v>
      </c>
      <c r="D18" s="314" t="s">
        <v>360</v>
      </c>
      <c r="E18" s="314" t="s">
        <v>361</v>
      </c>
      <c r="F18" s="314" t="s">
        <v>362</v>
      </c>
      <c r="G18" s="314" t="s">
        <v>363</v>
      </c>
    </row>
    <row r="19" spans="1:7">
      <c r="A19" s="320" t="s">
        <v>350</v>
      </c>
      <c r="B19" s="321" t="s">
        <v>364</v>
      </c>
      <c r="C19" s="321">
        <v>16</v>
      </c>
      <c r="D19" s="321" t="s">
        <v>365</v>
      </c>
      <c r="E19" s="326">
        <f>1/(30*300)*16*(1/188.76)</f>
        <v>9.418191236373056E-6</v>
      </c>
      <c r="F19" s="322">
        <f>ENCARREGADO!I140</f>
        <v>4560.3665763167892</v>
      </c>
      <c r="G19" s="327">
        <f>E19*F19</f>
        <v>4.2950404523715381E-2</v>
      </c>
    </row>
    <row r="20" spans="1:7">
      <c r="A20" s="328" t="s">
        <v>352</v>
      </c>
      <c r="B20" s="321" t="s">
        <v>366</v>
      </c>
      <c r="C20" s="321">
        <v>16</v>
      </c>
      <c r="D20" s="321" t="s">
        <v>365</v>
      </c>
      <c r="E20" s="326">
        <f>1/300*16*(1/188.76)</f>
        <v>2.8254573709119167E-4</v>
      </c>
      <c r="F20" s="329">
        <f>'SERVENTE DE LIMPEZA'!I140</f>
        <v>4077.0594982112175</v>
      </c>
      <c r="G20" s="330">
        <f>F20*E20</f>
        <v>1.1519557810867325</v>
      </c>
    </row>
    <row r="21" spans="1:7">
      <c r="A21" s="317"/>
      <c r="B21" s="331"/>
      <c r="C21" s="332"/>
      <c r="D21" s="332"/>
      <c r="E21" s="331"/>
      <c r="F21" s="315" t="s">
        <v>14</v>
      </c>
      <c r="G21" s="316">
        <f>SUM(G19:G20)</f>
        <v>1.1949061856104479</v>
      </c>
    </row>
    <row r="22" spans="1:7">
      <c r="A22" s="317"/>
      <c r="B22" s="331"/>
      <c r="C22" s="332"/>
      <c r="D22" s="332"/>
      <c r="E22" s="331"/>
      <c r="F22" s="317"/>
      <c r="G22" s="317"/>
    </row>
    <row r="23" spans="1:7">
      <c r="A23" s="317" t="s">
        <v>367</v>
      </c>
      <c r="B23" s="331"/>
      <c r="C23" s="332"/>
      <c r="D23" s="332"/>
      <c r="E23" s="331"/>
      <c r="F23" s="317"/>
      <c r="G23" s="317"/>
    </row>
    <row r="24" spans="1:7">
      <c r="A24" s="317"/>
      <c r="B24" s="331"/>
      <c r="C24" s="332"/>
      <c r="D24" s="332"/>
      <c r="E24" s="331"/>
      <c r="F24" s="317"/>
      <c r="G24" s="317"/>
    </row>
    <row r="25" spans="1:7" ht="110.4">
      <c r="A25" s="314" t="s">
        <v>357</v>
      </c>
      <c r="B25" s="314" t="s">
        <v>358</v>
      </c>
      <c r="C25" s="314" t="s">
        <v>368</v>
      </c>
      <c r="D25" s="314" t="s">
        <v>369</v>
      </c>
      <c r="E25" s="314" t="s">
        <v>370</v>
      </c>
      <c r="F25" s="314" t="s">
        <v>362</v>
      </c>
      <c r="G25" s="314" t="s">
        <v>363</v>
      </c>
    </row>
    <row r="26" spans="1:7">
      <c r="A26" s="320" t="s">
        <v>350</v>
      </c>
      <c r="B26" s="321" t="s">
        <v>371</v>
      </c>
      <c r="C26" s="321">
        <v>8</v>
      </c>
      <c r="D26" s="321" t="s">
        <v>372</v>
      </c>
      <c r="E26" s="326">
        <f>1/(4*130)*8*(1/1132.6)</f>
        <v>1.3583449924611855E-5</v>
      </c>
      <c r="F26" s="322">
        <f>ENCARREGADO!I140</f>
        <v>4560.3665763167892</v>
      </c>
      <c r="G26" s="333">
        <f>F26*E26</f>
        <v>6.1945511027272714E-2</v>
      </c>
    </row>
    <row r="27" spans="1:7" ht="28.2">
      <c r="A27" s="334" t="s">
        <v>373</v>
      </c>
      <c r="B27" s="321" t="s">
        <v>374</v>
      </c>
      <c r="C27" s="321">
        <v>8</v>
      </c>
      <c r="D27" s="321" t="s">
        <v>372</v>
      </c>
      <c r="E27" s="326">
        <f>1/130*8*(1/1132.6)</f>
        <v>5.4333799698447419E-5</v>
      </c>
      <c r="F27" s="322">
        <f>'LAVADOR DE FACHADA'!I140</f>
        <v>6708.7849983593105</v>
      </c>
      <c r="G27" s="335">
        <f>F27*E27</f>
        <v>0.36451378032080367</v>
      </c>
    </row>
    <row r="28" spans="1:7">
      <c r="A28" s="317"/>
      <c r="B28" s="331"/>
      <c r="C28" s="332"/>
      <c r="D28" s="332"/>
      <c r="E28" s="331"/>
      <c r="F28" s="315" t="s">
        <v>14</v>
      </c>
      <c r="G28" s="311">
        <f>SUM(G26:G27)</f>
        <v>0.42645929134807636</v>
      </c>
    </row>
    <row r="29" spans="1:7">
      <c r="A29" s="319"/>
      <c r="B29" s="319"/>
      <c r="C29" s="319"/>
      <c r="D29" s="319"/>
      <c r="E29" s="319"/>
      <c r="F29" s="319"/>
      <c r="G29" s="319"/>
    </row>
    <row r="30" spans="1:7">
      <c r="A30" s="319"/>
      <c r="B30" s="319"/>
      <c r="C30" s="319"/>
      <c r="D30" s="319"/>
      <c r="E30" s="319"/>
      <c r="F30" s="319"/>
      <c r="G30" s="319"/>
    </row>
    <row r="31" spans="1:7">
      <c r="A31" s="318"/>
      <c r="B31" s="318"/>
      <c r="C31" s="318"/>
      <c r="D31" s="318"/>
      <c r="E31" s="319"/>
      <c r="F31" s="319"/>
      <c r="G31" s="319"/>
    </row>
    <row r="32" spans="1:7" ht="151.80000000000001">
      <c r="A32" s="318" t="s">
        <v>375</v>
      </c>
      <c r="B32" s="318"/>
      <c r="C32" s="318"/>
      <c r="D32" s="309" t="s">
        <v>376</v>
      </c>
      <c r="E32" s="319"/>
      <c r="F32" s="319"/>
      <c r="G32" s="319"/>
    </row>
    <row r="33" spans="1:7">
      <c r="A33" s="310" t="s">
        <v>377</v>
      </c>
      <c r="B33" s="310"/>
      <c r="C33" s="310"/>
      <c r="D33" s="336">
        <v>1</v>
      </c>
      <c r="E33" s="319"/>
      <c r="F33" s="319"/>
      <c r="G33" s="319"/>
    </row>
    <row r="34" spans="1:7">
      <c r="A34" s="310" t="s">
        <v>378</v>
      </c>
      <c r="B34" s="310"/>
      <c r="C34" s="310"/>
      <c r="D34" s="336">
        <v>14</v>
      </c>
      <c r="E34" s="319"/>
      <c r="F34" s="319"/>
      <c r="G34" s="319"/>
    </row>
    <row r="35" spans="1:7">
      <c r="A35" s="337" t="s">
        <v>373</v>
      </c>
      <c r="B35" s="337"/>
      <c r="C35" s="337"/>
      <c r="D35" s="338">
        <v>1</v>
      </c>
      <c r="E35" s="339"/>
      <c r="F35" s="339"/>
      <c r="G35" s="339"/>
    </row>
  </sheetData>
  <mergeCells count="12">
    <mergeCell ref="A17:D17"/>
    <mergeCell ref="A31:D31"/>
    <mergeCell ref="A32:C32"/>
    <mergeCell ref="A33:C33"/>
    <mergeCell ref="A34:C34"/>
    <mergeCell ref="A35:C35"/>
    <mergeCell ref="A1:D1"/>
    <mergeCell ref="A3:D4"/>
    <mergeCell ref="A5:D5"/>
    <mergeCell ref="A9:C9"/>
    <mergeCell ref="A11:D11"/>
    <mergeCell ref="A15:C15"/>
  </mergeCells>
  <pageMargins left="0.511811024" right="0.511811024" top="0.78740157499999996" bottom="0.78740157499999996" header="0.31496062000000002" footer="0.31496062000000002"/>
  <pageSetup paperSize="9" scale="79" orientation="portrait" horizontalDpi="360" verticalDpi="36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09"/>
  <sheetViews>
    <sheetView view="pageBreakPreview" topLeftCell="A55" zoomScale="60" zoomScaleNormal="100" workbookViewId="0">
      <selection activeCell="G61" sqref="G61"/>
    </sheetView>
  </sheetViews>
  <sheetFormatPr defaultRowHeight="14.4"/>
  <cols>
    <col min="1" max="1" width="8.88671875" style="237"/>
    <col min="2" max="2" width="77.44140625" style="237" customWidth="1"/>
    <col min="3" max="3" width="8.88671875" style="237"/>
    <col min="4" max="4" width="14.6640625" style="237" customWidth="1"/>
    <col min="5" max="5" width="8.88671875" style="237"/>
    <col min="6" max="6" width="13.109375" style="237" bestFit="1" customWidth="1"/>
    <col min="7" max="7" width="15.33203125" style="237" bestFit="1" customWidth="1"/>
    <col min="8" max="16384" width="8.88671875" style="237"/>
  </cols>
  <sheetData>
    <row r="1" spans="1:7" ht="18" thickBot="1">
      <c r="A1" s="236" t="s">
        <v>138</v>
      </c>
      <c r="B1" s="236"/>
      <c r="C1" s="236"/>
      <c r="D1" s="236"/>
      <c r="E1" s="236"/>
      <c r="F1" s="236"/>
      <c r="G1" s="236"/>
    </row>
    <row r="2" spans="1:7" ht="27.6">
      <c r="A2" s="238" t="s">
        <v>139</v>
      </c>
      <c r="B2" s="238" t="s">
        <v>140</v>
      </c>
      <c r="C2" s="238" t="s">
        <v>141</v>
      </c>
      <c r="D2" s="238" t="s">
        <v>142</v>
      </c>
      <c r="E2" s="238" t="s">
        <v>143</v>
      </c>
      <c r="F2" s="238" t="s">
        <v>144</v>
      </c>
      <c r="G2" s="239" t="s">
        <v>145</v>
      </c>
    </row>
    <row r="3" spans="1:7" ht="55.2">
      <c r="A3" s="232">
        <v>1</v>
      </c>
      <c r="B3" s="240" t="s">
        <v>146</v>
      </c>
      <c r="C3" s="232" t="s">
        <v>147</v>
      </c>
      <c r="D3" s="232" t="s">
        <v>148</v>
      </c>
      <c r="E3" s="241">
        <f>6*15</f>
        <v>90</v>
      </c>
      <c r="F3" s="242">
        <v>8</v>
      </c>
      <c r="G3" s="243">
        <f>F3*E3</f>
        <v>720</v>
      </c>
    </row>
    <row r="4" spans="1:7" ht="27.6">
      <c r="A4" s="232">
        <v>2</v>
      </c>
      <c r="B4" s="240" t="s">
        <v>149</v>
      </c>
      <c r="C4" s="232" t="s">
        <v>150</v>
      </c>
      <c r="D4" s="232" t="s">
        <v>151</v>
      </c>
      <c r="E4" s="241">
        <f>13*12</f>
        <v>156</v>
      </c>
      <c r="F4" s="242">
        <v>9</v>
      </c>
      <c r="G4" s="243">
        <f t="shared" ref="G4:G54" si="0">F4*E4</f>
        <v>1404</v>
      </c>
    </row>
    <row r="5" spans="1:7" ht="27.6">
      <c r="A5" s="232">
        <v>3</v>
      </c>
      <c r="B5" s="240" t="s">
        <v>152</v>
      </c>
      <c r="C5" s="232" t="s">
        <v>153</v>
      </c>
      <c r="D5" s="232" t="s">
        <v>154</v>
      </c>
      <c r="E5" s="241">
        <f>24*12</f>
        <v>288</v>
      </c>
      <c r="F5" s="242">
        <v>10</v>
      </c>
      <c r="G5" s="243">
        <f t="shared" si="0"/>
        <v>2880</v>
      </c>
    </row>
    <row r="6" spans="1:7" ht="27.6">
      <c r="A6" s="232">
        <v>4</v>
      </c>
      <c r="B6" s="240" t="s">
        <v>155</v>
      </c>
      <c r="C6" s="232" t="s">
        <v>156</v>
      </c>
      <c r="D6" s="232" t="s">
        <v>157</v>
      </c>
      <c r="E6" s="241">
        <f>12*12</f>
        <v>144</v>
      </c>
      <c r="F6" s="242">
        <v>8</v>
      </c>
      <c r="G6" s="243">
        <f t="shared" si="0"/>
        <v>1152</v>
      </c>
    </row>
    <row r="7" spans="1:7" ht="27.6">
      <c r="A7" s="232">
        <v>5</v>
      </c>
      <c r="B7" s="240" t="s">
        <v>158</v>
      </c>
      <c r="C7" s="232" t="s">
        <v>159</v>
      </c>
      <c r="D7" s="232" t="s">
        <v>160</v>
      </c>
      <c r="E7" s="241">
        <v>36</v>
      </c>
      <c r="F7" s="244">
        <v>10</v>
      </c>
      <c r="G7" s="243">
        <f t="shared" si="0"/>
        <v>360</v>
      </c>
    </row>
    <row r="8" spans="1:7">
      <c r="A8" s="232">
        <v>6</v>
      </c>
      <c r="B8" s="240" t="s">
        <v>161</v>
      </c>
      <c r="C8" s="232" t="s">
        <v>147</v>
      </c>
      <c r="D8" s="232" t="s">
        <v>154</v>
      </c>
      <c r="E8" s="241">
        <f>4*12</f>
        <v>48</v>
      </c>
      <c r="F8" s="242">
        <v>9</v>
      </c>
      <c r="G8" s="243">
        <f t="shared" si="0"/>
        <v>432</v>
      </c>
    </row>
    <row r="9" spans="1:7" ht="55.2">
      <c r="A9" s="232">
        <v>7</v>
      </c>
      <c r="B9" s="240" t="s">
        <v>162</v>
      </c>
      <c r="C9" s="232" t="s">
        <v>147</v>
      </c>
      <c r="D9" s="232" t="s">
        <v>163</v>
      </c>
      <c r="E9" s="241">
        <v>48</v>
      </c>
      <c r="F9" s="242">
        <v>10</v>
      </c>
      <c r="G9" s="243">
        <f t="shared" si="0"/>
        <v>480</v>
      </c>
    </row>
    <row r="10" spans="1:7" ht="27.6">
      <c r="A10" s="232">
        <v>8</v>
      </c>
      <c r="B10" s="240" t="s">
        <v>164</v>
      </c>
      <c r="C10" s="232" t="s">
        <v>159</v>
      </c>
      <c r="D10" s="232" t="s">
        <v>165</v>
      </c>
      <c r="E10" s="241">
        <v>15</v>
      </c>
      <c r="F10" s="242">
        <v>3</v>
      </c>
      <c r="G10" s="243">
        <f t="shared" si="0"/>
        <v>45</v>
      </c>
    </row>
    <row r="11" spans="1:7" ht="27.6">
      <c r="A11" s="232">
        <v>9</v>
      </c>
      <c r="B11" s="240" t="s">
        <v>166</v>
      </c>
      <c r="C11" s="232" t="s">
        <v>159</v>
      </c>
      <c r="D11" s="232" t="s">
        <v>165</v>
      </c>
      <c r="E11" s="241">
        <v>24</v>
      </c>
      <c r="F11" s="242">
        <v>3</v>
      </c>
      <c r="G11" s="243">
        <f t="shared" si="0"/>
        <v>72</v>
      </c>
    </row>
    <row r="12" spans="1:7" ht="27.6">
      <c r="A12" s="232">
        <v>10</v>
      </c>
      <c r="B12" s="240" t="s">
        <v>167</v>
      </c>
      <c r="C12" s="232" t="s">
        <v>159</v>
      </c>
      <c r="D12" s="232" t="s">
        <v>168</v>
      </c>
      <c r="E12" s="241">
        <v>156</v>
      </c>
      <c r="F12" s="244">
        <v>0.5</v>
      </c>
      <c r="G12" s="243">
        <f t="shared" si="0"/>
        <v>78</v>
      </c>
    </row>
    <row r="13" spans="1:7" ht="27.6">
      <c r="A13" s="232">
        <v>11</v>
      </c>
      <c r="B13" s="240" t="s">
        <v>169</v>
      </c>
      <c r="C13" s="232" t="s">
        <v>170</v>
      </c>
      <c r="D13" s="232" t="s">
        <v>171</v>
      </c>
      <c r="E13" s="241">
        <v>156</v>
      </c>
      <c r="F13" s="244">
        <v>0.8</v>
      </c>
      <c r="G13" s="243">
        <f t="shared" si="0"/>
        <v>124.80000000000001</v>
      </c>
    </row>
    <row r="14" spans="1:7" ht="27.6">
      <c r="A14" s="232">
        <v>12</v>
      </c>
      <c r="B14" s="240" t="s">
        <v>172</v>
      </c>
      <c r="C14" s="232" t="s">
        <v>159</v>
      </c>
      <c r="D14" s="232" t="s">
        <v>168</v>
      </c>
      <c r="E14" s="241">
        <v>156</v>
      </c>
      <c r="F14" s="244">
        <v>0.9</v>
      </c>
      <c r="G14" s="243">
        <f t="shared" si="0"/>
        <v>140.4</v>
      </c>
    </row>
    <row r="15" spans="1:7" ht="27.6">
      <c r="A15" s="232">
        <v>13</v>
      </c>
      <c r="B15" s="240" t="s">
        <v>173</v>
      </c>
      <c r="C15" s="232" t="s">
        <v>159</v>
      </c>
      <c r="D15" s="232" t="s">
        <v>174</v>
      </c>
      <c r="E15" s="241">
        <f>16*12</f>
        <v>192</v>
      </c>
      <c r="F15" s="244">
        <v>3</v>
      </c>
      <c r="G15" s="243">
        <f t="shared" si="0"/>
        <v>576</v>
      </c>
    </row>
    <row r="16" spans="1:7" ht="27.6">
      <c r="A16" s="232">
        <v>14</v>
      </c>
      <c r="B16" s="240" t="s">
        <v>175</v>
      </c>
      <c r="C16" s="232" t="s">
        <v>159</v>
      </c>
      <c r="D16" s="232" t="s">
        <v>176</v>
      </c>
      <c r="E16" s="241">
        <v>13</v>
      </c>
      <c r="F16" s="244">
        <v>12</v>
      </c>
      <c r="G16" s="243">
        <f t="shared" si="0"/>
        <v>156</v>
      </c>
    </row>
    <row r="17" spans="1:7" ht="27.6">
      <c r="A17" s="232">
        <v>15</v>
      </c>
      <c r="B17" s="240" t="s">
        <v>177</v>
      </c>
      <c r="C17" s="232" t="s">
        <v>156</v>
      </c>
      <c r="D17" s="232" t="s">
        <v>154</v>
      </c>
      <c r="E17" s="241">
        <v>15</v>
      </c>
      <c r="F17" s="244">
        <v>5</v>
      </c>
      <c r="G17" s="243">
        <f t="shared" si="0"/>
        <v>75</v>
      </c>
    </row>
    <row r="18" spans="1:7" ht="69">
      <c r="A18" s="232">
        <v>16</v>
      </c>
      <c r="B18" s="240" t="s">
        <v>178</v>
      </c>
      <c r="C18" s="232" t="s">
        <v>179</v>
      </c>
      <c r="D18" s="232" t="s">
        <v>180</v>
      </c>
      <c r="E18" s="241">
        <f>15*12</f>
        <v>180</v>
      </c>
      <c r="F18" s="242">
        <v>2</v>
      </c>
      <c r="G18" s="243">
        <f t="shared" si="0"/>
        <v>360</v>
      </c>
    </row>
    <row r="19" spans="1:7" ht="55.2">
      <c r="A19" s="232">
        <v>17</v>
      </c>
      <c r="B19" s="240" t="s">
        <v>181</v>
      </c>
      <c r="C19" s="232" t="s">
        <v>179</v>
      </c>
      <c r="D19" s="232" t="s">
        <v>180</v>
      </c>
      <c r="E19" s="241">
        <v>12</v>
      </c>
      <c r="F19" s="242">
        <v>3.2</v>
      </c>
      <c r="G19" s="243">
        <f t="shared" si="0"/>
        <v>38.400000000000006</v>
      </c>
    </row>
    <row r="20" spans="1:7" ht="41.4">
      <c r="A20" s="232">
        <v>18</v>
      </c>
      <c r="B20" s="240" t="s">
        <v>182</v>
      </c>
      <c r="C20" s="232" t="s">
        <v>183</v>
      </c>
      <c r="D20" s="232" t="s">
        <v>184</v>
      </c>
      <c r="E20" s="241">
        <v>252</v>
      </c>
      <c r="F20" s="242">
        <v>45</v>
      </c>
      <c r="G20" s="243">
        <f t="shared" si="0"/>
        <v>11340</v>
      </c>
    </row>
    <row r="21" spans="1:7" ht="27.6">
      <c r="A21" s="232">
        <v>19</v>
      </c>
      <c r="B21" s="240" t="s">
        <v>185</v>
      </c>
      <c r="C21" s="232" t="s">
        <v>183</v>
      </c>
      <c r="D21" s="232" t="s">
        <v>184</v>
      </c>
      <c r="E21" s="241">
        <f>16*12</f>
        <v>192</v>
      </c>
      <c r="F21" s="242">
        <v>60</v>
      </c>
      <c r="G21" s="243">
        <f t="shared" si="0"/>
        <v>11520</v>
      </c>
    </row>
    <row r="22" spans="1:7" ht="27.6">
      <c r="A22" s="232">
        <v>20</v>
      </c>
      <c r="B22" s="240" t="s">
        <v>186</v>
      </c>
      <c r="C22" s="232" t="s">
        <v>159</v>
      </c>
      <c r="D22" s="232" t="s">
        <v>187</v>
      </c>
      <c r="E22" s="241">
        <v>240</v>
      </c>
      <c r="F22" s="242">
        <v>4</v>
      </c>
      <c r="G22" s="243">
        <f t="shared" si="0"/>
        <v>960</v>
      </c>
    </row>
    <row r="23" spans="1:7" ht="41.4">
      <c r="A23" s="232">
        <v>21</v>
      </c>
      <c r="B23" s="240" t="s">
        <v>188</v>
      </c>
      <c r="C23" s="232" t="s">
        <v>159</v>
      </c>
      <c r="D23" s="232" t="s">
        <v>165</v>
      </c>
      <c r="E23" s="241">
        <v>36</v>
      </c>
      <c r="F23" s="242">
        <v>10</v>
      </c>
      <c r="G23" s="243">
        <f t="shared" si="0"/>
        <v>360</v>
      </c>
    </row>
    <row r="24" spans="1:7" ht="27.6">
      <c r="A24" s="232">
        <v>22</v>
      </c>
      <c r="B24" s="240" t="s">
        <v>189</v>
      </c>
      <c r="C24" s="232" t="s">
        <v>156</v>
      </c>
      <c r="D24" s="232" t="s">
        <v>190</v>
      </c>
      <c r="E24" s="241">
        <v>16</v>
      </c>
      <c r="F24" s="244">
        <v>5</v>
      </c>
      <c r="G24" s="243">
        <f t="shared" si="0"/>
        <v>80</v>
      </c>
    </row>
    <row r="25" spans="1:7" ht="27.6">
      <c r="A25" s="232">
        <v>23</v>
      </c>
      <c r="B25" s="240" t="s">
        <v>191</v>
      </c>
      <c r="C25" s="232" t="s">
        <v>159</v>
      </c>
      <c r="D25" s="232" t="s">
        <v>192</v>
      </c>
      <c r="E25" s="241">
        <v>32</v>
      </c>
      <c r="F25" s="244">
        <v>4</v>
      </c>
      <c r="G25" s="243">
        <f t="shared" si="0"/>
        <v>128</v>
      </c>
    </row>
    <row r="26" spans="1:7" ht="55.2">
      <c r="A26" s="232">
        <v>24</v>
      </c>
      <c r="B26" s="240" t="s">
        <v>193</v>
      </c>
      <c r="C26" s="232" t="s">
        <v>147</v>
      </c>
      <c r="D26" s="232" t="s">
        <v>194</v>
      </c>
      <c r="E26" s="241">
        <v>120</v>
      </c>
      <c r="F26" s="242">
        <v>15</v>
      </c>
      <c r="G26" s="243">
        <f t="shared" si="0"/>
        <v>1800</v>
      </c>
    </row>
    <row r="27" spans="1:7" ht="27.6">
      <c r="A27" s="232">
        <v>25</v>
      </c>
      <c r="B27" s="240" t="s">
        <v>195</v>
      </c>
      <c r="C27" s="232" t="s">
        <v>159</v>
      </c>
      <c r="D27" s="232" t="s">
        <v>196</v>
      </c>
      <c r="E27" s="241">
        <v>26</v>
      </c>
      <c r="F27" s="244">
        <v>4</v>
      </c>
      <c r="G27" s="243">
        <f t="shared" si="0"/>
        <v>104</v>
      </c>
    </row>
    <row r="28" spans="1:7" ht="27.6">
      <c r="A28" s="232">
        <v>26</v>
      </c>
      <c r="B28" s="240" t="s">
        <v>197</v>
      </c>
      <c r="C28" s="232" t="s">
        <v>159</v>
      </c>
      <c r="D28" s="232" t="s">
        <v>196</v>
      </c>
      <c r="E28" s="241">
        <v>26</v>
      </c>
      <c r="F28" s="242">
        <v>5</v>
      </c>
      <c r="G28" s="243">
        <f t="shared" si="0"/>
        <v>130</v>
      </c>
    </row>
    <row r="29" spans="1:7" ht="55.2">
      <c r="A29" s="232">
        <v>27</v>
      </c>
      <c r="B29" s="240" t="s">
        <v>198</v>
      </c>
      <c r="C29" s="232" t="s">
        <v>199</v>
      </c>
      <c r="D29" s="232" t="s">
        <v>200</v>
      </c>
      <c r="E29" s="241">
        <f>16*12</f>
        <v>192</v>
      </c>
      <c r="F29" s="242">
        <v>15</v>
      </c>
      <c r="G29" s="243">
        <f t="shared" si="0"/>
        <v>2880</v>
      </c>
    </row>
    <row r="30" spans="1:7" ht="41.4">
      <c r="A30" s="232">
        <v>28</v>
      </c>
      <c r="B30" s="240" t="s">
        <v>201</v>
      </c>
      <c r="C30" s="232" t="s">
        <v>202</v>
      </c>
      <c r="D30" s="233" t="s">
        <v>203</v>
      </c>
      <c r="E30" s="241">
        <v>96</v>
      </c>
      <c r="F30" s="244">
        <v>12</v>
      </c>
      <c r="G30" s="243">
        <f t="shared" si="0"/>
        <v>1152</v>
      </c>
    </row>
    <row r="31" spans="1:7" ht="55.2">
      <c r="A31" s="232">
        <v>29</v>
      </c>
      <c r="B31" s="240" t="s">
        <v>204</v>
      </c>
      <c r="C31" s="232" t="s">
        <v>183</v>
      </c>
      <c r="D31" s="233" t="s">
        <v>205</v>
      </c>
      <c r="E31" s="241">
        <v>48</v>
      </c>
      <c r="F31" s="244">
        <v>18</v>
      </c>
      <c r="G31" s="243">
        <f t="shared" si="0"/>
        <v>864</v>
      </c>
    </row>
    <row r="32" spans="1:7" ht="55.2">
      <c r="A32" s="232">
        <v>30</v>
      </c>
      <c r="B32" s="240" t="s">
        <v>206</v>
      </c>
      <c r="C32" s="232" t="s">
        <v>183</v>
      </c>
      <c r="D32" s="233" t="s">
        <v>205</v>
      </c>
      <c r="E32" s="241">
        <v>60</v>
      </c>
      <c r="F32" s="244">
        <v>15</v>
      </c>
      <c r="G32" s="243">
        <f t="shared" si="0"/>
        <v>900</v>
      </c>
    </row>
    <row r="33" spans="1:7" ht="41.4">
      <c r="A33" s="232">
        <v>31</v>
      </c>
      <c r="B33" s="240" t="s">
        <v>207</v>
      </c>
      <c r="C33" s="232" t="s">
        <v>183</v>
      </c>
      <c r="D33" s="234" t="s">
        <v>208</v>
      </c>
      <c r="E33" s="241">
        <v>36</v>
      </c>
      <c r="F33" s="242">
        <v>15</v>
      </c>
      <c r="G33" s="243">
        <f t="shared" si="0"/>
        <v>540</v>
      </c>
    </row>
    <row r="34" spans="1:7" ht="41.4">
      <c r="A34" s="232">
        <v>32</v>
      </c>
      <c r="B34" s="240" t="s">
        <v>209</v>
      </c>
      <c r="C34" s="232" t="s">
        <v>183</v>
      </c>
      <c r="D34" s="234" t="s">
        <v>208</v>
      </c>
      <c r="E34" s="241">
        <v>24</v>
      </c>
      <c r="F34" s="244">
        <v>15</v>
      </c>
      <c r="G34" s="243">
        <f t="shared" si="0"/>
        <v>360</v>
      </c>
    </row>
    <row r="35" spans="1:7" ht="27.6">
      <c r="A35" s="232">
        <v>33</v>
      </c>
      <c r="B35" s="240" t="s">
        <v>210</v>
      </c>
      <c r="C35" s="232" t="s">
        <v>156</v>
      </c>
      <c r="D35" s="232" t="s">
        <v>211</v>
      </c>
      <c r="E35" s="241">
        <v>180</v>
      </c>
      <c r="F35" s="244">
        <v>5</v>
      </c>
      <c r="G35" s="243">
        <f t="shared" si="0"/>
        <v>900</v>
      </c>
    </row>
    <row r="36" spans="1:7" ht="27.6">
      <c r="A36" s="232">
        <v>34</v>
      </c>
      <c r="B36" s="240" t="s">
        <v>212</v>
      </c>
      <c r="C36" s="232" t="s">
        <v>159</v>
      </c>
      <c r="D36" s="232" t="s">
        <v>196</v>
      </c>
      <c r="E36" s="241">
        <v>24</v>
      </c>
      <c r="F36" s="244">
        <v>3</v>
      </c>
      <c r="G36" s="243">
        <f t="shared" si="0"/>
        <v>72</v>
      </c>
    </row>
    <row r="37" spans="1:7" ht="27.6">
      <c r="A37" s="232">
        <v>35</v>
      </c>
      <c r="B37" s="240" t="s">
        <v>213</v>
      </c>
      <c r="C37" s="232" t="s">
        <v>159</v>
      </c>
      <c r="D37" s="232" t="s">
        <v>196</v>
      </c>
      <c r="E37" s="241">
        <v>16</v>
      </c>
      <c r="F37" s="244">
        <v>3</v>
      </c>
      <c r="G37" s="243">
        <f t="shared" si="0"/>
        <v>48</v>
      </c>
    </row>
    <row r="38" spans="1:7" ht="27.6">
      <c r="A38" s="232">
        <v>36</v>
      </c>
      <c r="B38" s="240" t="s">
        <v>214</v>
      </c>
      <c r="C38" s="232" t="s">
        <v>159</v>
      </c>
      <c r="D38" s="232" t="s">
        <v>196</v>
      </c>
      <c r="E38" s="241">
        <v>16</v>
      </c>
      <c r="F38" s="244">
        <v>8</v>
      </c>
      <c r="G38" s="243">
        <f t="shared" si="0"/>
        <v>128</v>
      </c>
    </row>
    <row r="39" spans="1:7" ht="27.6">
      <c r="A39" s="232">
        <v>37</v>
      </c>
      <c r="B39" s="240" t="s">
        <v>215</v>
      </c>
      <c r="C39" s="232" t="s">
        <v>159</v>
      </c>
      <c r="D39" s="232" t="s">
        <v>216</v>
      </c>
      <c r="E39" s="241">
        <v>28</v>
      </c>
      <c r="F39" s="244">
        <v>14</v>
      </c>
      <c r="G39" s="243">
        <f t="shared" si="0"/>
        <v>392</v>
      </c>
    </row>
    <row r="40" spans="1:7" ht="27.6">
      <c r="A40" s="232">
        <v>38</v>
      </c>
      <c r="B40" s="240" t="s">
        <v>217</v>
      </c>
      <c r="C40" s="232" t="s">
        <v>159</v>
      </c>
      <c r="D40" s="232" t="s">
        <v>218</v>
      </c>
      <c r="E40" s="241">
        <v>360</v>
      </c>
      <c r="F40" s="244">
        <v>1</v>
      </c>
      <c r="G40" s="243">
        <f t="shared" si="0"/>
        <v>360</v>
      </c>
    </row>
    <row r="41" spans="1:7" ht="41.4">
      <c r="A41" s="232">
        <v>39</v>
      </c>
      <c r="B41" s="240" t="s">
        <v>219</v>
      </c>
      <c r="C41" s="232" t="s">
        <v>220</v>
      </c>
      <c r="D41" s="232" t="s">
        <v>221</v>
      </c>
      <c r="E41" s="241">
        <f>4*12</f>
        <v>48</v>
      </c>
      <c r="F41" s="242">
        <v>22</v>
      </c>
      <c r="G41" s="243">
        <f t="shared" si="0"/>
        <v>1056</v>
      </c>
    </row>
    <row r="42" spans="1:7" ht="55.2">
      <c r="A42" s="232">
        <v>40</v>
      </c>
      <c r="B42" s="240" t="s">
        <v>222</v>
      </c>
      <c r="C42" s="232" t="s">
        <v>223</v>
      </c>
      <c r="D42" s="232" t="s">
        <v>224</v>
      </c>
      <c r="E42" s="241">
        <f>48*12</f>
        <v>576</v>
      </c>
      <c r="F42" s="242">
        <v>2</v>
      </c>
      <c r="G42" s="243">
        <f t="shared" si="0"/>
        <v>1152</v>
      </c>
    </row>
    <row r="43" spans="1:7" ht="27.6">
      <c r="A43" s="232">
        <v>41</v>
      </c>
      <c r="B43" s="240" t="s">
        <v>225</v>
      </c>
      <c r="C43" s="232" t="s">
        <v>141</v>
      </c>
      <c r="D43" s="232" t="s">
        <v>218</v>
      </c>
      <c r="E43" s="241">
        <v>120</v>
      </c>
      <c r="F43" s="242">
        <v>1</v>
      </c>
      <c r="G43" s="243">
        <f t="shared" si="0"/>
        <v>120</v>
      </c>
    </row>
    <row r="44" spans="1:7" ht="69">
      <c r="A44" s="232">
        <v>42</v>
      </c>
      <c r="B44" s="240" t="s">
        <v>226</v>
      </c>
      <c r="C44" s="232" t="s">
        <v>227</v>
      </c>
      <c r="D44" s="232" t="s">
        <v>228</v>
      </c>
      <c r="E44" s="241">
        <f>4*12</f>
        <v>48</v>
      </c>
      <c r="F44" s="242">
        <v>15</v>
      </c>
      <c r="G44" s="243">
        <f t="shared" si="0"/>
        <v>720</v>
      </c>
    </row>
    <row r="45" spans="1:7" ht="27.6">
      <c r="A45" s="232">
        <v>43</v>
      </c>
      <c r="B45" s="240" t="s">
        <v>229</v>
      </c>
      <c r="C45" s="232" t="s">
        <v>141</v>
      </c>
      <c r="D45" s="232" t="s">
        <v>218</v>
      </c>
      <c r="E45" s="241">
        <v>24</v>
      </c>
      <c r="F45" s="242">
        <v>20</v>
      </c>
      <c r="G45" s="243">
        <f t="shared" si="0"/>
        <v>480</v>
      </c>
    </row>
    <row r="46" spans="1:7" ht="41.4">
      <c r="A46" s="232">
        <v>44</v>
      </c>
      <c r="B46" s="240" t="s">
        <v>230</v>
      </c>
      <c r="C46" s="232" t="s">
        <v>231</v>
      </c>
      <c r="D46" s="232" t="s">
        <v>232</v>
      </c>
      <c r="E46" s="241">
        <v>60</v>
      </c>
      <c r="F46" s="242">
        <v>30</v>
      </c>
      <c r="G46" s="243">
        <f t="shared" si="0"/>
        <v>1800</v>
      </c>
    </row>
    <row r="47" spans="1:7" ht="55.2">
      <c r="A47" s="232">
        <v>45</v>
      </c>
      <c r="B47" s="240" t="s">
        <v>233</v>
      </c>
      <c r="C47" s="232" t="s">
        <v>234</v>
      </c>
      <c r="D47" s="232" t="s">
        <v>163</v>
      </c>
      <c r="E47" s="241">
        <v>24</v>
      </c>
      <c r="F47" s="242">
        <v>12</v>
      </c>
      <c r="G47" s="243">
        <f t="shared" si="0"/>
        <v>288</v>
      </c>
    </row>
    <row r="48" spans="1:7" ht="41.4">
      <c r="A48" s="232">
        <v>46</v>
      </c>
      <c r="B48" s="240" t="s">
        <v>235</v>
      </c>
      <c r="C48" s="232" t="s">
        <v>141</v>
      </c>
      <c r="D48" s="232" t="s">
        <v>236</v>
      </c>
      <c r="E48" s="241">
        <v>6</v>
      </c>
      <c r="F48" s="242">
        <v>130</v>
      </c>
      <c r="G48" s="243">
        <f t="shared" si="0"/>
        <v>780</v>
      </c>
    </row>
    <row r="49" spans="1:7" ht="41.4">
      <c r="A49" s="232">
        <v>47</v>
      </c>
      <c r="B49" s="240" t="s">
        <v>237</v>
      </c>
      <c r="C49" s="232" t="s">
        <v>238</v>
      </c>
      <c r="D49" s="232" t="s">
        <v>218</v>
      </c>
      <c r="E49" s="241">
        <f>4*12</f>
        <v>48</v>
      </c>
      <c r="F49" s="242">
        <v>7</v>
      </c>
      <c r="G49" s="243">
        <f t="shared" si="0"/>
        <v>336</v>
      </c>
    </row>
    <row r="50" spans="1:7" ht="27.6">
      <c r="A50" s="232">
        <v>48</v>
      </c>
      <c r="B50" s="240" t="s">
        <v>239</v>
      </c>
      <c r="C50" s="232" t="s">
        <v>141</v>
      </c>
      <c r="D50" s="232" t="s">
        <v>240</v>
      </c>
      <c r="E50" s="241">
        <v>6</v>
      </c>
      <c r="F50" s="242">
        <v>5</v>
      </c>
      <c r="G50" s="243">
        <f t="shared" si="0"/>
        <v>30</v>
      </c>
    </row>
    <row r="51" spans="1:7" ht="41.4">
      <c r="A51" s="232">
        <v>49</v>
      </c>
      <c r="B51" s="240" t="s">
        <v>241</v>
      </c>
      <c r="C51" s="232" t="s">
        <v>231</v>
      </c>
      <c r="D51" s="232" t="s">
        <v>242</v>
      </c>
      <c r="E51" s="241">
        <v>60</v>
      </c>
      <c r="F51" s="242">
        <v>10</v>
      </c>
      <c r="G51" s="243">
        <f t="shared" si="0"/>
        <v>600</v>
      </c>
    </row>
    <row r="52" spans="1:7" ht="41.4">
      <c r="A52" s="232">
        <v>50</v>
      </c>
      <c r="B52" s="240" t="s">
        <v>243</v>
      </c>
      <c r="C52" s="232" t="s">
        <v>244</v>
      </c>
      <c r="D52" s="232" t="s">
        <v>245</v>
      </c>
      <c r="E52" s="241">
        <v>24</v>
      </c>
      <c r="F52" s="242">
        <v>3</v>
      </c>
      <c r="G52" s="243">
        <f t="shared" si="0"/>
        <v>72</v>
      </c>
    </row>
    <row r="53" spans="1:7" ht="41.4">
      <c r="A53" s="232">
        <v>51</v>
      </c>
      <c r="B53" s="240" t="s">
        <v>246</v>
      </c>
      <c r="C53" s="232" t="s">
        <v>231</v>
      </c>
      <c r="D53" s="232" t="s">
        <v>232</v>
      </c>
      <c r="E53" s="241">
        <v>12</v>
      </c>
      <c r="F53" s="242">
        <v>25</v>
      </c>
      <c r="G53" s="243">
        <f t="shared" si="0"/>
        <v>300</v>
      </c>
    </row>
    <row r="54" spans="1:7" ht="55.2">
      <c r="A54" s="232">
        <v>52</v>
      </c>
      <c r="B54" s="245" t="s">
        <v>247</v>
      </c>
      <c r="C54" s="232" t="s">
        <v>231</v>
      </c>
      <c r="D54" s="232" t="s">
        <v>154</v>
      </c>
      <c r="E54" s="241">
        <v>12</v>
      </c>
      <c r="F54" s="242">
        <v>42</v>
      </c>
      <c r="G54" s="243">
        <f t="shared" si="0"/>
        <v>504</v>
      </c>
    </row>
    <row r="55" spans="1:7">
      <c r="A55" s="246" t="s">
        <v>248</v>
      </c>
      <c r="B55" s="246"/>
      <c r="C55" s="246"/>
      <c r="D55" s="246"/>
      <c r="E55" s="246"/>
      <c r="F55" s="246"/>
      <c r="G55" s="247">
        <f>SUM(G3:G54)</f>
        <v>52349.599999999999</v>
      </c>
    </row>
    <row r="56" spans="1:7">
      <c r="A56" s="246" t="s">
        <v>249</v>
      </c>
      <c r="B56" s="246"/>
      <c r="C56" s="246"/>
      <c r="D56" s="246"/>
      <c r="E56" s="246"/>
      <c r="F56" s="246"/>
      <c r="G56" s="247">
        <f>G55/12</f>
        <v>4362.4666666666662</v>
      </c>
    </row>
    <row r="57" spans="1:7">
      <c r="A57" s="246" t="s">
        <v>250</v>
      </c>
      <c r="B57" s="246"/>
      <c r="C57" s="246"/>
      <c r="D57" s="246"/>
      <c r="E57" s="246"/>
      <c r="F57" s="246"/>
      <c r="G57" s="248">
        <f>G56/14</f>
        <v>311.60476190476186</v>
      </c>
    </row>
    <row r="58" spans="1:7">
      <c r="A58" s="249" t="s">
        <v>251</v>
      </c>
      <c r="B58" s="249"/>
      <c r="C58" s="249"/>
      <c r="D58" s="249"/>
      <c r="E58" s="249"/>
      <c r="F58" s="249"/>
      <c r="G58" s="249"/>
    </row>
    <row r="59" spans="1:7" ht="18" thickBot="1">
      <c r="A59" s="251" t="s">
        <v>252</v>
      </c>
      <c r="B59" s="251"/>
      <c r="C59" s="251"/>
      <c r="D59" s="251"/>
      <c r="E59" s="251"/>
      <c r="F59" s="251"/>
      <c r="G59" s="251"/>
    </row>
    <row r="60" spans="1:7" ht="75">
      <c r="A60" s="252" t="s">
        <v>139</v>
      </c>
      <c r="B60" s="253" t="s">
        <v>253</v>
      </c>
      <c r="C60" s="254" t="s">
        <v>141</v>
      </c>
      <c r="D60" s="254" t="s">
        <v>142</v>
      </c>
      <c r="E60" s="253" t="s">
        <v>254</v>
      </c>
      <c r="F60" s="253" t="s">
        <v>255</v>
      </c>
      <c r="G60" s="255" t="s">
        <v>256</v>
      </c>
    </row>
    <row r="61" spans="1:7" ht="55.2">
      <c r="A61" s="232">
        <v>1</v>
      </c>
      <c r="B61" s="240" t="s">
        <v>257</v>
      </c>
      <c r="C61" s="232" t="s">
        <v>159</v>
      </c>
      <c r="D61" s="232" t="s">
        <v>258</v>
      </c>
      <c r="E61" s="241">
        <v>3</v>
      </c>
      <c r="F61" s="256">
        <v>350</v>
      </c>
      <c r="G61" s="257">
        <f>E61*F61</f>
        <v>1050</v>
      </c>
    </row>
    <row r="62" spans="1:7" ht="82.8">
      <c r="A62" s="232">
        <v>2</v>
      </c>
      <c r="B62" s="240" t="s">
        <v>259</v>
      </c>
      <c r="C62" s="232" t="s">
        <v>159</v>
      </c>
      <c r="D62" s="232" t="s">
        <v>260</v>
      </c>
      <c r="E62" s="241">
        <v>1</v>
      </c>
      <c r="F62" s="256">
        <v>500</v>
      </c>
      <c r="G62" s="257">
        <f>E62*F62</f>
        <v>500</v>
      </c>
    </row>
    <row r="63" spans="1:7" ht="55.2">
      <c r="A63" s="232">
        <v>3</v>
      </c>
      <c r="B63" s="240" t="s">
        <v>261</v>
      </c>
      <c r="C63" s="232" t="s">
        <v>159</v>
      </c>
      <c r="D63" s="232" t="s">
        <v>262</v>
      </c>
      <c r="E63" s="241">
        <v>16</v>
      </c>
      <c r="F63" s="256">
        <v>500</v>
      </c>
      <c r="G63" s="257">
        <f>F63*E63</f>
        <v>8000</v>
      </c>
    </row>
    <row r="64" spans="1:7" ht="55.2">
      <c r="A64" s="232">
        <v>4</v>
      </c>
      <c r="B64" s="240" t="s">
        <v>263</v>
      </c>
      <c r="C64" s="232" t="s">
        <v>159</v>
      </c>
      <c r="D64" s="232" t="s">
        <v>264</v>
      </c>
      <c r="E64" s="241">
        <v>5</v>
      </c>
      <c r="F64" s="256">
        <v>1200</v>
      </c>
      <c r="G64" s="257">
        <f t="shared" ref="G64:G73" si="1">F64*E64</f>
        <v>6000</v>
      </c>
    </row>
    <row r="65" spans="1:7" ht="55.2">
      <c r="A65" s="232">
        <v>5</v>
      </c>
      <c r="B65" s="240" t="s">
        <v>265</v>
      </c>
      <c r="C65" s="232" t="s">
        <v>159</v>
      </c>
      <c r="D65" s="232" t="s">
        <v>266</v>
      </c>
      <c r="E65" s="241">
        <v>1</v>
      </c>
      <c r="F65" s="256">
        <v>1000</v>
      </c>
      <c r="G65" s="257">
        <f t="shared" si="1"/>
        <v>1000</v>
      </c>
    </row>
    <row r="66" spans="1:7" ht="27.6">
      <c r="A66" s="232">
        <v>6</v>
      </c>
      <c r="B66" s="240" t="s">
        <v>267</v>
      </c>
      <c r="C66" s="232" t="s">
        <v>159</v>
      </c>
      <c r="D66" s="232" t="s">
        <v>268</v>
      </c>
      <c r="E66" s="241">
        <v>1</v>
      </c>
      <c r="F66" s="256">
        <v>800</v>
      </c>
      <c r="G66" s="257">
        <f t="shared" si="1"/>
        <v>800</v>
      </c>
    </row>
    <row r="67" spans="1:7" ht="69">
      <c r="A67" s="232">
        <v>7</v>
      </c>
      <c r="B67" s="240" t="s">
        <v>269</v>
      </c>
      <c r="C67" s="232" t="s">
        <v>159</v>
      </c>
      <c r="D67" s="232" t="s">
        <v>270</v>
      </c>
      <c r="E67" s="241">
        <v>1</v>
      </c>
      <c r="F67" s="256">
        <v>250</v>
      </c>
      <c r="G67" s="257">
        <f t="shared" si="1"/>
        <v>250</v>
      </c>
    </row>
    <row r="68" spans="1:7" ht="27.6">
      <c r="A68" s="232">
        <v>8</v>
      </c>
      <c r="B68" s="240" t="s">
        <v>271</v>
      </c>
      <c r="C68" s="232" t="s">
        <v>159</v>
      </c>
      <c r="D68" s="232" t="s">
        <v>272</v>
      </c>
      <c r="E68" s="241">
        <v>1</v>
      </c>
      <c r="F68" s="256">
        <v>500</v>
      </c>
      <c r="G68" s="257">
        <f t="shared" si="1"/>
        <v>500</v>
      </c>
    </row>
    <row r="69" spans="1:7" ht="41.4">
      <c r="A69" s="232">
        <v>9</v>
      </c>
      <c r="B69" s="240" t="s">
        <v>273</v>
      </c>
      <c r="C69" s="232" t="s">
        <v>159</v>
      </c>
      <c r="D69" s="232" t="s">
        <v>274</v>
      </c>
      <c r="E69" s="241">
        <v>1</v>
      </c>
      <c r="F69" s="256">
        <v>20</v>
      </c>
      <c r="G69" s="257">
        <f t="shared" si="1"/>
        <v>20</v>
      </c>
    </row>
    <row r="70" spans="1:7" ht="69">
      <c r="A70" s="232">
        <v>10</v>
      </c>
      <c r="B70" s="240" t="s">
        <v>275</v>
      </c>
      <c r="C70" s="232" t="s">
        <v>159</v>
      </c>
      <c r="D70" s="232" t="s">
        <v>276</v>
      </c>
      <c r="E70" s="241">
        <v>1</v>
      </c>
      <c r="F70" s="256">
        <v>100</v>
      </c>
      <c r="G70" s="257">
        <f t="shared" si="1"/>
        <v>100</v>
      </c>
    </row>
    <row r="71" spans="1:7" ht="82.8">
      <c r="A71" s="232">
        <v>11</v>
      </c>
      <c r="B71" s="240" t="s">
        <v>277</v>
      </c>
      <c r="C71" s="232" t="s">
        <v>159</v>
      </c>
      <c r="D71" s="232" t="s">
        <v>278</v>
      </c>
      <c r="E71" s="241">
        <v>16</v>
      </c>
      <c r="F71" s="256">
        <v>30</v>
      </c>
      <c r="G71" s="257">
        <f t="shared" si="1"/>
        <v>480</v>
      </c>
    </row>
    <row r="72" spans="1:7" ht="69">
      <c r="A72" s="232">
        <v>12</v>
      </c>
      <c r="B72" s="240" t="s">
        <v>279</v>
      </c>
      <c r="C72" s="232" t="s">
        <v>159</v>
      </c>
      <c r="D72" s="232" t="s">
        <v>274</v>
      </c>
      <c r="E72" s="241">
        <v>1</v>
      </c>
      <c r="F72" s="256">
        <v>20</v>
      </c>
      <c r="G72" s="257">
        <f t="shared" si="1"/>
        <v>20</v>
      </c>
    </row>
    <row r="73" spans="1:7" ht="69">
      <c r="A73" s="232">
        <v>13</v>
      </c>
      <c r="B73" s="240" t="s">
        <v>280</v>
      </c>
      <c r="C73" s="232" t="s">
        <v>159</v>
      </c>
      <c r="D73" s="232" t="s">
        <v>274</v>
      </c>
      <c r="E73" s="241">
        <v>1</v>
      </c>
      <c r="F73" s="256">
        <v>25</v>
      </c>
      <c r="G73" s="257">
        <f t="shared" si="1"/>
        <v>25</v>
      </c>
    </row>
    <row r="74" spans="1:7">
      <c r="A74" s="258" t="s">
        <v>281</v>
      </c>
      <c r="B74" s="258"/>
      <c r="C74" s="258"/>
      <c r="D74" s="258"/>
      <c r="E74" s="258"/>
      <c r="F74" s="258"/>
      <c r="G74" s="259">
        <f>SUM(G61:G73)</f>
        <v>18745</v>
      </c>
    </row>
    <row r="75" spans="1:7">
      <c r="A75" s="260" t="s">
        <v>317</v>
      </c>
      <c r="B75" s="260"/>
      <c r="C75" s="260"/>
      <c r="D75" s="260"/>
      <c r="E75" s="260"/>
      <c r="F75" s="260"/>
      <c r="G75" s="261">
        <f>G74*0.5%</f>
        <v>93.725000000000009</v>
      </c>
    </row>
    <row r="76" spans="1:7">
      <c r="A76" s="262" t="s">
        <v>282</v>
      </c>
      <c r="B76" s="262"/>
      <c r="C76" s="262"/>
      <c r="D76" s="262"/>
      <c r="E76" s="262"/>
      <c r="F76" s="262"/>
      <c r="G76" s="261">
        <f>(G74*80%)/96</f>
        <v>156.20833333333334</v>
      </c>
    </row>
    <row r="77" spans="1:7">
      <c r="A77" s="258" t="s">
        <v>283</v>
      </c>
      <c r="B77" s="258"/>
      <c r="C77" s="258"/>
      <c r="D77" s="258"/>
      <c r="E77" s="258"/>
      <c r="F77" s="258"/>
      <c r="G77" s="261">
        <f>G75+G76</f>
        <v>249.93333333333334</v>
      </c>
    </row>
    <row r="78" spans="1:7" ht="15" thickBot="1">
      <c r="A78" s="263" t="s">
        <v>284</v>
      </c>
      <c r="B78" s="263"/>
      <c r="C78" s="263"/>
      <c r="D78" s="263"/>
      <c r="E78" s="263"/>
      <c r="F78" s="263"/>
      <c r="G78" s="261">
        <f>G77/14</f>
        <v>17.852380952380951</v>
      </c>
    </row>
    <row r="79" spans="1:7">
      <c r="A79" s="264" t="s">
        <v>285</v>
      </c>
      <c r="B79" s="264"/>
      <c r="C79" s="264"/>
      <c r="D79" s="264"/>
      <c r="E79" s="264"/>
      <c r="F79" s="264"/>
      <c r="G79" s="264"/>
    </row>
    <row r="80" spans="1:7" ht="15" thickBot="1">
      <c r="A80" s="265"/>
      <c r="B80" s="265"/>
      <c r="C80" s="266"/>
      <c r="D80" s="265"/>
      <c r="E80" s="265"/>
      <c r="F80" s="265"/>
      <c r="G80" s="267"/>
    </row>
    <row r="81" spans="1:7" ht="18" thickBot="1">
      <c r="A81" s="268" t="s">
        <v>286</v>
      </c>
      <c r="B81" s="268"/>
      <c r="C81" s="268"/>
      <c r="D81" s="268"/>
      <c r="E81" s="268"/>
      <c r="F81" s="268"/>
      <c r="G81" s="268"/>
    </row>
    <row r="82" spans="1:7" ht="90">
      <c r="A82" s="252" t="s">
        <v>139</v>
      </c>
      <c r="B82" s="253" t="s">
        <v>253</v>
      </c>
      <c r="C82" s="232" t="s">
        <v>141</v>
      </c>
      <c r="D82" s="232" t="s">
        <v>142</v>
      </c>
      <c r="E82" s="253" t="s">
        <v>254</v>
      </c>
      <c r="F82" s="253" t="s">
        <v>287</v>
      </c>
      <c r="G82" s="269" t="s">
        <v>288</v>
      </c>
    </row>
    <row r="83" spans="1:7" ht="27.6">
      <c r="A83" s="232">
        <v>1</v>
      </c>
      <c r="B83" s="240" t="s">
        <v>289</v>
      </c>
      <c r="C83" s="232" t="s">
        <v>159</v>
      </c>
      <c r="D83" s="232" t="s">
        <v>160</v>
      </c>
      <c r="E83" s="241">
        <v>326</v>
      </c>
      <c r="F83" s="244">
        <v>12</v>
      </c>
      <c r="G83" s="270">
        <f>F83*E83</f>
        <v>3912</v>
      </c>
    </row>
    <row r="84" spans="1:7" ht="41.4">
      <c r="A84" s="232">
        <v>2</v>
      </c>
      <c r="B84" s="240" t="s">
        <v>290</v>
      </c>
      <c r="C84" s="232" t="s">
        <v>159</v>
      </c>
      <c r="D84" s="232" t="s">
        <v>291</v>
      </c>
      <c r="E84" s="241">
        <v>20</v>
      </c>
      <c r="F84" s="244">
        <v>25</v>
      </c>
      <c r="G84" s="270">
        <f t="shared" ref="G84:G88" si="2">F84*E84</f>
        <v>500</v>
      </c>
    </row>
    <row r="85" spans="1:7" ht="41.4">
      <c r="A85" s="232">
        <v>3</v>
      </c>
      <c r="B85" s="240" t="s">
        <v>292</v>
      </c>
      <c r="C85" s="232" t="s">
        <v>159</v>
      </c>
      <c r="D85" s="232" t="s">
        <v>291</v>
      </c>
      <c r="E85" s="241">
        <v>60</v>
      </c>
      <c r="F85" s="244">
        <v>30</v>
      </c>
      <c r="G85" s="270">
        <f t="shared" si="2"/>
        <v>1800</v>
      </c>
    </row>
    <row r="86" spans="1:7" ht="41.4">
      <c r="A86" s="232">
        <v>4</v>
      </c>
      <c r="B86" s="240" t="s">
        <v>293</v>
      </c>
      <c r="C86" s="232" t="s">
        <v>159</v>
      </c>
      <c r="D86" s="232" t="s">
        <v>291</v>
      </c>
      <c r="E86" s="241">
        <v>119</v>
      </c>
      <c r="F86" s="244">
        <v>25</v>
      </c>
      <c r="G86" s="270">
        <f t="shared" si="2"/>
        <v>2975</v>
      </c>
    </row>
    <row r="87" spans="1:7" ht="41.4">
      <c r="A87" s="232">
        <v>5</v>
      </c>
      <c r="B87" s="240" t="s">
        <v>294</v>
      </c>
      <c r="C87" s="232" t="s">
        <v>159</v>
      </c>
      <c r="D87" s="232" t="s">
        <v>291</v>
      </c>
      <c r="E87" s="241">
        <v>54</v>
      </c>
      <c r="F87" s="244">
        <v>20</v>
      </c>
      <c r="G87" s="270">
        <f t="shared" si="2"/>
        <v>1080</v>
      </c>
    </row>
    <row r="88" spans="1:7" ht="27.6">
      <c r="A88" s="232">
        <v>6</v>
      </c>
      <c r="B88" s="240" t="s">
        <v>295</v>
      </c>
      <c r="C88" s="232" t="s">
        <v>159</v>
      </c>
      <c r="D88" s="232" t="s">
        <v>296</v>
      </c>
      <c r="E88" s="241">
        <v>177</v>
      </c>
      <c r="F88" s="244">
        <v>50</v>
      </c>
      <c r="G88" s="270">
        <f t="shared" si="2"/>
        <v>8850</v>
      </c>
    </row>
    <row r="89" spans="1:7">
      <c r="A89" s="271" t="s">
        <v>297</v>
      </c>
      <c r="B89" s="271"/>
      <c r="C89" s="271"/>
      <c r="D89" s="271"/>
      <c r="E89" s="271"/>
      <c r="F89" s="271"/>
      <c r="G89" s="259">
        <f>SUM(G83:G88)</f>
        <v>19117</v>
      </c>
    </row>
    <row r="90" spans="1:7">
      <c r="A90" s="260" t="s">
        <v>318</v>
      </c>
      <c r="B90" s="260"/>
      <c r="C90" s="260"/>
      <c r="D90" s="260"/>
      <c r="E90" s="260"/>
      <c r="F90" s="260"/>
      <c r="G90" s="261">
        <f>G89*0.5%</f>
        <v>95.585000000000008</v>
      </c>
    </row>
    <row r="91" spans="1:7">
      <c r="A91" s="262" t="s">
        <v>319</v>
      </c>
      <c r="B91" s="262"/>
      <c r="C91" s="262"/>
      <c r="D91" s="262"/>
      <c r="E91" s="262"/>
      <c r="F91" s="262"/>
      <c r="G91" s="261">
        <f>(G89*80%)/60</f>
        <v>254.89333333333335</v>
      </c>
    </row>
    <row r="92" spans="1:7">
      <c r="A92" s="271" t="s">
        <v>298</v>
      </c>
      <c r="B92" s="271"/>
      <c r="C92" s="271"/>
      <c r="D92" s="271"/>
      <c r="E92" s="271"/>
      <c r="F92" s="271"/>
      <c r="G92" s="261">
        <f>G90+G91</f>
        <v>350.47833333333335</v>
      </c>
    </row>
    <row r="93" spans="1:7">
      <c r="A93" s="271" t="s">
        <v>299</v>
      </c>
      <c r="B93" s="271"/>
      <c r="C93" s="271"/>
      <c r="D93" s="271"/>
      <c r="E93" s="271"/>
      <c r="F93" s="271"/>
      <c r="G93" s="261">
        <f>G92/14</f>
        <v>25.034166666666668</v>
      </c>
    </row>
    <row r="94" spans="1:7">
      <c r="A94" s="264" t="s">
        <v>300</v>
      </c>
      <c r="B94" s="264"/>
      <c r="C94" s="264"/>
      <c r="D94" s="264"/>
      <c r="E94" s="264"/>
      <c r="F94" s="264"/>
      <c r="G94" s="264"/>
    </row>
    <row r="95" spans="1:7" ht="17.399999999999999">
      <c r="A95" s="272" t="s">
        <v>301</v>
      </c>
      <c r="B95" s="272"/>
      <c r="C95" s="272"/>
      <c r="D95" s="272"/>
      <c r="E95" s="272"/>
      <c r="F95" s="272"/>
      <c r="G95" s="272"/>
    </row>
    <row r="96" spans="1:7" ht="57.6">
      <c r="A96" s="273" t="s">
        <v>302</v>
      </c>
      <c r="B96" s="274" t="s">
        <v>253</v>
      </c>
      <c r="C96" s="275" t="s">
        <v>141</v>
      </c>
      <c r="D96" s="232" t="s">
        <v>142</v>
      </c>
      <c r="E96" s="276" t="s">
        <v>254</v>
      </c>
      <c r="F96" s="277" t="s">
        <v>287</v>
      </c>
      <c r="G96" s="277" t="s">
        <v>288</v>
      </c>
    </row>
    <row r="97" spans="1:7" ht="27.6">
      <c r="A97" s="232">
        <v>1</v>
      </c>
      <c r="B97" s="240" t="s">
        <v>303</v>
      </c>
      <c r="C97" s="278" t="s">
        <v>159</v>
      </c>
      <c r="D97" s="250" t="s">
        <v>304</v>
      </c>
      <c r="E97" s="278">
        <v>1</v>
      </c>
      <c r="F97" s="279">
        <v>1500</v>
      </c>
      <c r="G97" s="279">
        <f t="shared" ref="G97:G103" si="3">E97*F97</f>
        <v>1500</v>
      </c>
    </row>
    <row r="98" spans="1:7" ht="27.6">
      <c r="A98" s="232">
        <v>2</v>
      </c>
      <c r="B98" s="280" t="s">
        <v>305</v>
      </c>
      <c r="C98" s="238" t="s">
        <v>159</v>
      </c>
      <c r="D98" s="238" t="s">
        <v>306</v>
      </c>
      <c r="E98" s="239">
        <v>1</v>
      </c>
      <c r="F98" s="281">
        <v>150</v>
      </c>
      <c r="G98" s="279">
        <f t="shared" si="3"/>
        <v>150</v>
      </c>
    </row>
    <row r="99" spans="1:7" ht="27.6">
      <c r="A99" s="232">
        <v>3</v>
      </c>
      <c r="B99" s="282" t="s">
        <v>307</v>
      </c>
      <c r="C99" s="232" t="s">
        <v>159</v>
      </c>
      <c r="D99" s="232" t="s">
        <v>306</v>
      </c>
      <c r="E99" s="241">
        <v>1</v>
      </c>
      <c r="F99" s="279">
        <v>160</v>
      </c>
      <c r="G99" s="279">
        <f t="shared" si="3"/>
        <v>160</v>
      </c>
    </row>
    <row r="100" spans="1:7" ht="27.6">
      <c r="A100" s="232">
        <v>4</v>
      </c>
      <c r="B100" s="283" t="s">
        <v>308</v>
      </c>
      <c r="C100" s="232" t="s">
        <v>159</v>
      </c>
      <c r="D100" s="232" t="s">
        <v>309</v>
      </c>
      <c r="E100" s="241">
        <v>1</v>
      </c>
      <c r="F100" s="279">
        <v>20</v>
      </c>
      <c r="G100" s="279">
        <f t="shared" si="3"/>
        <v>20</v>
      </c>
    </row>
    <row r="101" spans="1:7" ht="27.6">
      <c r="A101" s="232">
        <v>5</v>
      </c>
      <c r="B101" s="240" t="s">
        <v>310</v>
      </c>
      <c r="C101" s="232" t="s">
        <v>159</v>
      </c>
      <c r="D101" s="232" t="s">
        <v>311</v>
      </c>
      <c r="E101" s="241">
        <v>1</v>
      </c>
      <c r="F101" s="279">
        <v>2.5</v>
      </c>
      <c r="G101" s="279">
        <f t="shared" si="3"/>
        <v>2.5</v>
      </c>
    </row>
    <row r="102" spans="1:7" ht="27.6">
      <c r="A102" s="232">
        <v>6</v>
      </c>
      <c r="B102" s="240" t="s">
        <v>312</v>
      </c>
      <c r="C102" s="232" t="s">
        <v>159</v>
      </c>
      <c r="D102" s="232" t="s">
        <v>313</v>
      </c>
      <c r="E102" s="241">
        <v>1</v>
      </c>
      <c r="F102" s="279">
        <v>15</v>
      </c>
      <c r="G102" s="279">
        <f t="shared" si="3"/>
        <v>15</v>
      </c>
    </row>
    <row r="103" spans="1:7" ht="27.6">
      <c r="A103" s="232">
        <v>7</v>
      </c>
      <c r="B103" s="240" t="s">
        <v>314</v>
      </c>
      <c r="C103" s="232" t="s">
        <v>159</v>
      </c>
      <c r="D103" s="232" t="s">
        <v>306</v>
      </c>
      <c r="E103" s="241">
        <v>1</v>
      </c>
      <c r="F103" s="279">
        <v>300</v>
      </c>
      <c r="G103" s="279">
        <f t="shared" si="3"/>
        <v>300</v>
      </c>
    </row>
    <row r="104" spans="1:7">
      <c r="A104" s="284" t="s">
        <v>315</v>
      </c>
      <c r="B104" s="284"/>
      <c r="C104" s="284"/>
      <c r="D104" s="284"/>
      <c r="E104" s="284"/>
      <c r="F104" s="284"/>
      <c r="G104" s="285">
        <f>SUM(G97:G103)</f>
        <v>2147.5</v>
      </c>
    </row>
    <row r="105" spans="1:7">
      <c r="A105" s="286" t="s">
        <v>320</v>
      </c>
      <c r="B105" s="286"/>
      <c r="C105" s="286"/>
      <c r="D105" s="286"/>
      <c r="E105" s="286"/>
      <c r="F105" s="286"/>
      <c r="G105" s="261">
        <f>G104*0.5%</f>
        <v>10.737500000000001</v>
      </c>
    </row>
    <row r="106" spans="1:7">
      <c r="A106" s="287" t="s">
        <v>319</v>
      </c>
      <c r="B106" s="287"/>
      <c r="C106" s="287"/>
      <c r="D106" s="287"/>
      <c r="E106" s="287"/>
      <c r="F106" s="287"/>
      <c r="G106" s="261">
        <f>(G104*80%)/60</f>
        <v>28.633333333333333</v>
      </c>
    </row>
    <row r="107" spans="1:7">
      <c r="A107" s="288" t="s">
        <v>299</v>
      </c>
      <c r="B107" s="288"/>
      <c r="C107" s="288"/>
      <c r="D107" s="288"/>
      <c r="E107" s="288"/>
      <c r="F107" s="288"/>
      <c r="G107" s="261">
        <f>G105+G106</f>
        <v>39.370833333333337</v>
      </c>
    </row>
    <row r="108" spans="1:7">
      <c r="C108" s="289"/>
      <c r="G108" s="261"/>
    </row>
    <row r="109" spans="1:7">
      <c r="A109" s="290" t="s">
        <v>316</v>
      </c>
      <c r="B109" s="290"/>
      <c r="C109" s="290"/>
      <c r="D109" s="290"/>
      <c r="E109" s="290"/>
      <c r="F109" s="290"/>
      <c r="G109" s="290"/>
    </row>
  </sheetData>
  <mergeCells count="25">
    <mergeCell ref="A109:G109"/>
    <mergeCell ref="A94:G94"/>
    <mergeCell ref="A95:G95"/>
    <mergeCell ref="A104:F104"/>
    <mergeCell ref="A105:F105"/>
    <mergeCell ref="A106:F106"/>
    <mergeCell ref="A107:F107"/>
    <mergeCell ref="A81:G81"/>
    <mergeCell ref="A89:F89"/>
    <mergeCell ref="A90:F90"/>
    <mergeCell ref="A91:F91"/>
    <mergeCell ref="A92:F92"/>
    <mergeCell ref="A93:F93"/>
    <mergeCell ref="A74:F74"/>
    <mergeCell ref="A75:F75"/>
    <mergeCell ref="A76:F76"/>
    <mergeCell ref="A77:F77"/>
    <mergeCell ref="A78:F78"/>
    <mergeCell ref="A79:G79"/>
    <mergeCell ref="A1:G1"/>
    <mergeCell ref="A55:F55"/>
    <mergeCell ref="A56:F56"/>
    <mergeCell ref="A57:F57"/>
    <mergeCell ref="A58:G58"/>
    <mergeCell ref="A59:G59"/>
  </mergeCells>
  <hyperlinks>
    <hyperlink ref="B100" r:id="rId1"/>
  </hyperlinks>
  <pageMargins left="0.511811024" right="0.511811024" top="0.78740157499999996" bottom="0.78740157499999996" header="0.31496062000000002" footer="0.31496062000000002"/>
  <pageSetup paperSize="9" scale="63" orientation="portrait" horizontalDpi="360" verticalDpi="360"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view="pageBreakPreview" zoomScale="60" zoomScaleNormal="100" workbookViewId="0">
      <selection activeCell="G31" sqref="G31"/>
    </sheetView>
  </sheetViews>
  <sheetFormatPr defaultRowHeight="14.4"/>
  <cols>
    <col min="1" max="1" width="25.6640625" style="237" bestFit="1" customWidth="1"/>
    <col min="2" max="2" width="31.5546875" style="237" bestFit="1" customWidth="1"/>
    <col min="3" max="3" width="39.88671875" style="237" bestFit="1" customWidth="1"/>
    <col min="4" max="4" width="8.44140625" style="237" bestFit="1" customWidth="1"/>
    <col min="5" max="5" width="25.33203125" style="237" customWidth="1"/>
    <col min="6" max="6" width="17.109375" style="237" bestFit="1" customWidth="1"/>
    <col min="7" max="16384" width="8.88671875" style="237"/>
  </cols>
  <sheetData>
    <row r="1" spans="1:6" ht="17.399999999999999">
      <c r="A1" s="291" t="s">
        <v>321</v>
      </c>
      <c r="B1" s="291"/>
      <c r="C1" s="291"/>
      <c r="D1" s="291"/>
      <c r="E1" s="291"/>
      <c r="F1" s="291"/>
    </row>
    <row r="2" spans="1:6" ht="41.4">
      <c r="A2" s="292" t="s">
        <v>322</v>
      </c>
      <c r="B2" s="293" t="s">
        <v>323</v>
      </c>
      <c r="C2" s="293" t="s">
        <v>324</v>
      </c>
      <c r="D2" s="293" t="s">
        <v>325</v>
      </c>
      <c r="E2" s="293" t="s">
        <v>326</v>
      </c>
      <c r="F2" s="294" t="s">
        <v>327</v>
      </c>
    </row>
    <row r="3" spans="1:6" ht="41.4">
      <c r="A3" s="292"/>
      <c r="B3" s="295" t="s">
        <v>328</v>
      </c>
      <c r="C3" s="295" t="s">
        <v>328</v>
      </c>
      <c r="D3" s="296">
        <v>4</v>
      </c>
      <c r="E3" s="297">
        <v>50</v>
      </c>
      <c r="F3" s="297">
        <f>E3*D3</f>
        <v>200</v>
      </c>
    </row>
    <row r="4" spans="1:6" ht="55.2">
      <c r="A4" s="292"/>
      <c r="B4" s="295" t="s">
        <v>329</v>
      </c>
      <c r="C4" s="295" t="s">
        <v>329</v>
      </c>
      <c r="D4" s="296">
        <v>4</v>
      </c>
      <c r="E4" s="297">
        <v>40</v>
      </c>
      <c r="F4" s="297">
        <f t="shared" ref="F4:F7" si="0">E4*D4</f>
        <v>160</v>
      </c>
    </row>
    <row r="5" spans="1:6">
      <c r="A5" s="292"/>
      <c r="B5" s="295" t="s">
        <v>330</v>
      </c>
      <c r="C5" s="295" t="s">
        <v>330</v>
      </c>
      <c r="D5" s="296">
        <v>4</v>
      </c>
      <c r="E5" s="297">
        <v>5</v>
      </c>
      <c r="F5" s="297">
        <f t="shared" si="0"/>
        <v>20</v>
      </c>
    </row>
    <row r="6" spans="1:6" ht="55.2">
      <c r="A6" s="292"/>
      <c r="B6" s="295" t="s">
        <v>331</v>
      </c>
      <c r="C6" s="295" t="s">
        <v>331</v>
      </c>
      <c r="D6" s="296">
        <v>4</v>
      </c>
      <c r="E6" s="297">
        <v>32</v>
      </c>
      <c r="F6" s="297">
        <f t="shared" si="0"/>
        <v>128</v>
      </c>
    </row>
    <row r="7" spans="1:6" ht="27.6">
      <c r="A7" s="292"/>
      <c r="B7" s="295" t="s">
        <v>332</v>
      </c>
      <c r="C7" s="295" t="s">
        <v>332</v>
      </c>
      <c r="D7" s="296">
        <v>4</v>
      </c>
      <c r="E7" s="297">
        <v>1</v>
      </c>
      <c r="F7" s="297">
        <f t="shared" si="0"/>
        <v>4</v>
      </c>
    </row>
    <row r="8" spans="1:6">
      <c r="A8" s="298"/>
      <c r="B8" s="295" t="s">
        <v>333</v>
      </c>
      <c r="C8" s="295"/>
      <c r="D8" s="295"/>
      <c r="E8" s="297"/>
      <c r="F8" s="297">
        <f>SUM(F3:F7)</f>
        <v>512</v>
      </c>
    </row>
    <row r="9" spans="1:6" ht="27.6">
      <c r="A9" s="298"/>
      <c r="B9" s="295" t="s">
        <v>334</v>
      </c>
      <c r="C9" s="295"/>
      <c r="D9" s="295"/>
      <c r="E9" s="297"/>
      <c r="F9" s="297">
        <f>F8/12</f>
        <v>42.666666666666664</v>
      </c>
    </row>
    <row r="10" spans="1:6">
      <c r="A10" s="298"/>
      <c r="B10" s="298"/>
      <c r="C10" s="298"/>
      <c r="D10" s="298"/>
      <c r="E10" s="299"/>
      <c r="F10" s="299"/>
    </row>
    <row r="11" spans="1:6" ht="41.4">
      <c r="A11" s="292" t="s">
        <v>335</v>
      </c>
      <c r="B11" s="293" t="s">
        <v>323</v>
      </c>
      <c r="C11" s="293" t="s">
        <v>324</v>
      </c>
      <c r="D11" s="293" t="s">
        <v>325</v>
      </c>
      <c r="E11" s="297" t="s">
        <v>326</v>
      </c>
      <c r="F11" s="299" t="s">
        <v>327</v>
      </c>
    </row>
    <row r="12" spans="1:6" ht="41.4">
      <c r="A12" s="292"/>
      <c r="B12" s="300" t="s">
        <v>336</v>
      </c>
      <c r="C12" s="300" t="s">
        <v>336</v>
      </c>
      <c r="D12" s="301">
        <v>4</v>
      </c>
      <c r="E12" s="297">
        <v>60</v>
      </c>
      <c r="F12" s="299">
        <f>E12*D12</f>
        <v>240</v>
      </c>
    </row>
    <row r="13" spans="1:6" ht="27.6">
      <c r="A13" s="292"/>
      <c r="B13" s="300" t="s">
        <v>337</v>
      </c>
      <c r="C13" s="300" t="s">
        <v>337</v>
      </c>
      <c r="D13" s="301">
        <v>4</v>
      </c>
      <c r="E13" s="297">
        <v>50</v>
      </c>
      <c r="F13" s="299">
        <f t="shared" ref="F13:F16" si="1">E13*D13</f>
        <v>200</v>
      </c>
    </row>
    <row r="14" spans="1:6">
      <c r="A14" s="292"/>
      <c r="B14" s="300" t="s">
        <v>338</v>
      </c>
      <c r="C14" s="300" t="s">
        <v>338</v>
      </c>
      <c r="D14" s="301">
        <v>4</v>
      </c>
      <c r="E14" s="297">
        <v>5</v>
      </c>
      <c r="F14" s="299">
        <f t="shared" si="1"/>
        <v>20</v>
      </c>
    </row>
    <row r="15" spans="1:6">
      <c r="A15" s="292"/>
      <c r="B15" s="300" t="s">
        <v>339</v>
      </c>
      <c r="C15" s="300" t="s">
        <v>339</v>
      </c>
      <c r="D15" s="301">
        <v>4</v>
      </c>
      <c r="E15" s="297">
        <v>42</v>
      </c>
      <c r="F15" s="299">
        <f t="shared" si="1"/>
        <v>168</v>
      </c>
    </row>
    <row r="16" spans="1:6">
      <c r="A16" s="292"/>
      <c r="B16" s="300" t="s">
        <v>340</v>
      </c>
      <c r="C16" s="300" t="s">
        <v>340</v>
      </c>
      <c r="D16" s="301">
        <v>4</v>
      </c>
      <c r="E16" s="297">
        <v>1</v>
      </c>
      <c r="F16" s="299">
        <f t="shared" si="1"/>
        <v>4</v>
      </c>
    </row>
    <row r="17" spans="1:6">
      <c r="A17" s="298"/>
      <c r="B17" s="302" t="s">
        <v>341</v>
      </c>
      <c r="C17" s="302"/>
      <c r="D17" s="302"/>
      <c r="E17" s="297"/>
      <c r="F17" s="297">
        <f>SUM(F12:F16)</f>
        <v>632</v>
      </c>
    </row>
    <row r="18" spans="1:6">
      <c r="A18" s="298"/>
      <c r="B18" s="302" t="s">
        <v>342</v>
      </c>
      <c r="C18" s="302"/>
      <c r="D18" s="302"/>
      <c r="E18" s="297"/>
      <c r="F18" s="297">
        <f>F17/12</f>
        <v>52.666666666666664</v>
      </c>
    </row>
  </sheetData>
  <mergeCells count="3">
    <mergeCell ref="A1:F1"/>
    <mergeCell ref="A2:A7"/>
    <mergeCell ref="A11:A16"/>
  </mergeCells>
  <pageMargins left="0.511811024" right="0.511811024" top="0.78740157499999996" bottom="0.78740157499999996" header="0.31496062000000002" footer="0.31496062000000002"/>
  <pageSetup paperSize="9" scale="62"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7"/>
  <sheetViews>
    <sheetView tabSelected="1" workbookViewId="0">
      <selection activeCell="B7" sqref="A1:F7"/>
    </sheetView>
  </sheetViews>
  <sheetFormatPr defaultRowHeight="14.4"/>
  <cols>
    <col min="1" max="1" width="36.33203125" customWidth="1"/>
    <col min="2" max="2" width="13.5546875" bestFit="1" customWidth="1"/>
    <col min="3" max="3" width="12.44140625" bestFit="1" customWidth="1"/>
    <col min="4" max="4" width="15" customWidth="1"/>
  </cols>
  <sheetData>
    <row r="1" spans="1:6" ht="69">
      <c r="A1" s="341" t="s">
        <v>385</v>
      </c>
      <c r="B1" s="341" t="s">
        <v>386</v>
      </c>
      <c r="C1" s="341" t="s">
        <v>387</v>
      </c>
      <c r="D1" s="342" t="s">
        <v>388</v>
      </c>
      <c r="E1" s="343" t="s">
        <v>389</v>
      </c>
      <c r="F1" s="343"/>
    </row>
    <row r="2" spans="1:6">
      <c r="A2" s="344" t="s">
        <v>390</v>
      </c>
      <c r="B2" s="344">
        <v>10742.04</v>
      </c>
      <c r="C2" s="344">
        <v>640.25</v>
      </c>
      <c r="D2" s="345">
        <v>2109.89</v>
      </c>
      <c r="E2" s="346">
        <v>2001.02</v>
      </c>
      <c r="F2" s="346"/>
    </row>
    <row r="3" spans="1:6" ht="41.4">
      <c r="A3" s="347" t="s">
        <v>391</v>
      </c>
      <c r="B3" s="344" t="s">
        <v>392</v>
      </c>
      <c r="C3" s="344" t="s">
        <v>393</v>
      </c>
      <c r="D3" s="345" t="s">
        <v>394</v>
      </c>
      <c r="E3" s="346" t="s">
        <v>395</v>
      </c>
      <c r="F3" s="346"/>
    </row>
    <row r="4" spans="1:6">
      <c r="A4" s="344" t="s">
        <v>396</v>
      </c>
      <c r="B4" s="348">
        <f>M²!D9</f>
        <v>5.2863396467772219</v>
      </c>
      <c r="C4" s="348">
        <f>M²!D15</f>
        <v>2.3494842874565429</v>
      </c>
      <c r="D4" s="349">
        <f>M²!G21</f>
        <v>1.1949061856104479</v>
      </c>
      <c r="E4" s="350">
        <f>M²!G28</f>
        <v>0.42645929134807636</v>
      </c>
      <c r="F4" s="350"/>
    </row>
    <row r="5" spans="1:6">
      <c r="A5" s="347" t="s">
        <v>397</v>
      </c>
      <c r="B5" s="348">
        <f>B2*B4</f>
        <v>56786.071939266796</v>
      </c>
      <c r="C5" s="348">
        <f>C2*C4</f>
        <v>1504.2573150440517</v>
      </c>
      <c r="D5" s="348">
        <f>D2*D4</f>
        <v>2521.1206119576277</v>
      </c>
      <c r="E5" s="350">
        <f>E2*E4</f>
        <v>853.35357117332774</v>
      </c>
      <c r="F5" s="350"/>
    </row>
    <row r="6" spans="1:6">
      <c r="A6" s="351" t="s">
        <v>398</v>
      </c>
      <c r="B6" s="352">
        <f>B5+C5+D5+E5</f>
        <v>61664.803437441806</v>
      </c>
      <c r="C6" s="352"/>
      <c r="D6" s="352"/>
      <c r="E6" s="352"/>
      <c r="F6" s="352"/>
    </row>
    <row r="7" spans="1:6">
      <c r="A7" s="351" t="s">
        <v>399</v>
      </c>
      <c r="B7" s="353">
        <f>B6*12</f>
        <v>739977.64124930161</v>
      </c>
      <c r="C7" s="353"/>
      <c r="D7" s="353"/>
      <c r="E7" s="353"/>
      <c r="F7" s="353"/>
    </row>
  </sheetData>
  <mergeCells count="7">
    <mergeCell ref="B7:F7"/>
    <mergeCell ref="E1:F1"/>
    <mergeCell ref="E2:F2"/>
    <mergeCell ref="E3:F3"/>
    <mergeCell ref="E4:F4"/>
    <mergeCell ref="E5:F5"/>
    <mergeCell ref="B6:F6"/>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7</vt:i4>
      </vt:variant>
    </vt:vector>
  </HeadingPairs>
  <TitlesOfParts>
    <vt:vector size="7" baseType="lpstr">
      <vt:lpstr>SERVENTE DE LIMPEZA</vt:lpstr>
      <vt:lpstr>LAVADOR DE FACHADA</vt:lpstr>
      <vt:lpstr>ENCARREGADO</vt:lpstr>
      <vt:lpstr>M²</vt:lpstr>
      <vt:lpstr>MATERIAL E EQUIPAMENTO</vt:lpstr>
      <vt:lpstr>UNIFORMES</vt:lpstr>
      <vt:lpstr>RESUMO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lima</dc:creator>
  <cp:lastModifiedBy>pedro lima</cp:lastModifiedBy>
  <dcterms:created xsi:type="dcterms:W3CDTF">2024-01-24T13:18:34Z</dcterms:created>
  <dcterms:modified xsi:type="dcterms:W3CDTF">2024-01-24T13:56:17Z</dcterms:modified>
</cp:coreProperties>
</file>